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205" windowHeight="6345" activeTab="0"/>
  </bookViews>
  <sheets>
    <sheet name="NIDI" sheetId="1" r:id="rId1"/>
    <sheet name="SC. INF." sheetId="2" r:id="rId2"/>
    <sheet name="RIS-QUART" sheetId="3" r:id="rId3"/>
    <sheet name="RIS-CENTR" sheetId="4" r:id="rId4"/>
    <sheet name="SINTESI" sheetId="5" r:id="rId5"/>
    <sheet name="ANZIANI" sheetId="6" r:id="rId6"/>
  </sheets>
  <definedNames>
    <definedName name="_xlnm.Print_Area" localSheetId="5">'ANZIANI'!$A$1:$O$47</definedName>
    <definedName name="_xlnm.Print_Area" localSheetId="0">'NIDI'!$A$1:$S$54</definedName>
    <definedName name="_xlnm.Print_Area" localSheetId="3">'RIS-CENTR'!$A$1:$J$43</definedName>
    <definedName name="_xlnm.Print_Area" localSheetId="2">'RIS-QUART'!$A$1:$U$60</definedName>
    <definedName name="_xlnm.Print_Area" localSheetId="1">'SC. INF.'!$A$1:$Q$61</definedName>
  </definedNames>
  <calcPr fullCalcOnLoad="1"/>
</workbook>
</file>

<file path=xl/sharedStrings.xml><?xml version="1.0" encoding="utf-8"?>
<sst xmlns="http://schemas.openxmlformats.org/spreadsheetml/2006/main" count="325" uniqueCount="230">
  <si>
    <t>CONS</t>
  </si>
  <si>
    <t>D</t>
  </si>
  <si>
    <t>BDG</t>
  </si>
  <si>
    <t>2000 (senza E.C.)</t>
  </si>
  <si>
    <t>SU PRC2</t>
  </si>
  <si>
    <t>TOTALE QUARTIERI</t>
  </si>
  <si>
    <t>DIREZIONE, AFFARI GENERALI E ISTITUZ.</t>
  </si>
  <si>
    <t>Interventi promozionali</t>
  </si>
  <si>
    <t>Spese di funzionamento economali</t>
  </si>
  <si>
    <t>Beni durevoli</t>
  </si>
  <si>
    <t>SERVIZI SOCIO ASSISTENZIALI</t>
  </si>
  <si>
    <t>Case di riposo e aiuto all'autonomia</t>
  </si>
  <si>
    <t>Case protette e RSA</t>
  </si>
  <si>
    <t>Assistenza domiciliare</t>
  </si>
  <si>
    <t>Centri diurni</t>
  </si>
  <si>
    <t>Telesoccorso</t>
  </si>
  <si>
    <t>Buoni mensa</t>
  </si>
  <si>
    <t>Campi nomadi</t>
  </si>
  <si>
    <t>Altri servizi socio-assistenziali</t>
  </si>
  <si>
    <t>Aiuto all'autonomia</t>
  </si>
  <si>
    <t>SC. DELL'INFANZIA/ALTRI SERV. EDUCATIVI</t>
  </si>
  <si>
    <t>Progetto integrato scuola dell'infanzia</t>
  </si>
  <si>
    <t>Diritto allo studio</t>
  </si>
  <si>
    <t>Estate in città</t>
  </si>
  <si>
    <t>Trasporto (mezzi)</t>
  </si>
  <si>
    <t xml:space="preserve">Assistenza alunni con handicap </t>
  </si>
  <si>
    <t>Servizi integrativi</t>
  </si>
  <si>
    <t>Reimpiego contr. Bologna 2000 progetto educ. Pace</t>
  </si>
  <si>
    <t>SPORT / CULTURA E GIOVANI</t>
  </si>
  <si>
    <t>Impianti sportivi</t>
  </si>
  <si>
    <t>Biblioteche</t>
  </si>
  <si>
    <t>Giovani</t>
  </si>
  <si>
    <t>Reimpiego contr. Comm. Europea - 1</t>
  </si>
  <si>
    <t>Reimpiego contr. Comm. Europea - 2</t>
  </si>
  <si>
    <t>TOTALE  QUARTIERI</t>
  </si>
  <si>
    <t>COORD. ORGANIZZ. DECENTRATA</t>
  </si>
  <si>
    <t xml:space="preserve">QUARTIERI AGGREGATI </t>
  </si>
  <si>
    <t>*</t>
  </si>
  <si>
    <t>****</t>
  </si>
  <si>
    <t>TOTALE CONS. SPECIFICI</t>
  </si>
  <si>
    <t>BORGO</t>
  </si>
  <si>
    <t>NAVILE</t>
  </si>
  <si>
    <t>PORTO</t>
  </si>
  <si>
    <t>RENO</t>
  </si>
  <si>
    <t>SAN DONATO</t>
  </si>
  <si>
    <t>SANTO STEFANO</t>
  </si>
  <si>
    <t>SAN VITALE</t>
  </si>
  <si>
    <t>SARAGOZZA</t>
  </si>
  <si>
    <t>SAVENA</t>
  </si>
  <si>
    <t>TOTALE</t>
  </si>
  <si>
    <t>Biblioteche/Università</t>
  </si>
  <si>
    <t>Piccola manutenzione/volontariato</t>
  </si>
  <si>
    <t>Premio volontariato</t>
  </si>
  <si>
    <t>Totale</t>
  </si>
  <si>
    <t>Area funzionale Coord. Org. Decentrata</t>
  </si>
  <si>
    <t>TOTALE ORGANIZZAZIONE</t>
  </si>
  <si>
    <t>DECENTRATA</t>
  </si>
  <si>
    <t>NOTE</t>
  </si>
  <si>
    <t>CASE DI RIPOSO</t>
  </si>
  <si>
    <t>Totale assistiti</t>
  </si>
  <si>
    <t>Assistiti non autosuff.</t>
  </si>
  <si>
    <t>Assistiti autosuff.</t>
  </si>
  <si>
    <t>CASE PROTETTE E RSA</t>
  </si>
  <si>
    <t>TOTALE STRUTTURE RESIDENZIALI</t>
  </si>
  <si>
    <t>ASSISTENZA DOMICILIARE</t>
  </si>
  <si>
    <t>Assistiti totali</t>
  </si>
  <si>
    <t xml:space="preserve">Ore totali </t>
  </si>
  <si>
    <t>CENTRI DIURNI</t>
  </si>
  <si>
    <t xml:space="preserve">Posti offerti </t>
  </si>
  <si>
    <t>TELESOCCORSO</t>
  </si>
  <si>
    <t>Persone collegate</t>
  </si>
  <si>
    <t>vacanze in città anziani</t>
  </si>
  <si>
    <t>Altri servizi per l'autonomia</t>
  </si>
  <si>
    <t>2000-2001</t>
  </si>
  <si>
    <t>2001-2002</t>
  </si>
  <si>
    <t>%</t>
  </si>
  <si>
    <t>Popolazione in età 0-2 anni (a)</t>
  </si>
  <si>
    <t xml:space="preserve">                     di cui lattanti</t>
  </si>
  <si>
    <t xml:space="preserve">           di cui semidiv./div.</t>
  </si>
  <si>
    <t>Posti di nido tradizionale</t>
  </si>
  <si>
    <t>Posti di nido part-time</t>
  </si>
  <si>
    <t>Totale di posti nido</t>
  </si>
  <si>
    <t>Assegni ex Lege 1204/71 (c)</t>
  </si>
  <si>
    <t>Progetto educatrici familiari (d)</t>
  </si>
  <si>
    <t>Altri posti offerti in strutture convenz.</t>
  </si>
  <si>
    <t>-</t>
  </si>
  <si>
    <t>Offerta complessiva servizi</t>
  </si>
  <si>
    <t>Tasso di copertura dei servizi</t>
  </si>
  <si>
    <t xml:space="preserve">*: il nido Amico Gattone a Borgo Panigale aprirà a Settembre 2000 con 24 posti, a Navile il nido Bentini passa da tipologia 0-30 a tipologia 15-36 </t>
  </si>
  <si>
    <t>e il Bolzani passa da 15 a 8 lattanti e da 36 a 33 medi-grandi. A Reno c'è il recupero dei 15 posti lattanti del nido Fantini, a S.Donato il nido Negri aumenta 9 posti lattanti a scapito dei medi-grandi;</t>
  </si>
  <si>
    <t xml:space="preserve"> il De Giovanni a S. Vitale aumenta 10 posti di lattanti part-time e cala di 10 posti sui medi-grandi tradizionale, il nido Spartaco aumenta di 6 posti medi-grandi, il XVIII Aprile 3 posti lattanti,</t>
  </si>
  <si>
    <t xml:space="preserve">il part-time Piùinsieme perde 4 posti; a Saragozza il nido Aquilone passa da tipologia 0-47 a tipologia 15-38; a Savena il Roselle perde 3 posti lattanti e 6 medi-grandi e il Pezzoli 1 posto medi-grandi, </t>
  </si>
  <si>
    <t>mentre il nido part-time Castello dei 100 giochi recupera 2 posti. Non riapre, a Savena, il nido Mazzoni 2.</t>
  </si>
  <si>
    <t>Popolazione in età 3-5 anni (#)</t>
  </si>
  <si>
    <t>Scuole dell'infanzia comunali</t>
  </si>
  <si>
    <t>Sezioni attivate</t>
  </si>
  <si>
    <t>(a)</t>
  </si>
  <si>
    <t>Iscritti</t>
  </si>
  <si>
    <t>% copertura</t>
  </si>
  <si>
    <t>Scuole dell'infanzia statali</t>
  </si>
  <si>
    <t>Scuole dell'infanzia autonome convenzionate</t>
  </si>
  <si>
    <t>Scuole dell'infanzia autonome non convenzionate</t>
  </si>
  <si>
    <t>Totale sistema integrato scuole dell'infanzia</t>
  </si>
  <si>
    <t>2002-2003</t>
  </si>
  <si>
    <r>
      <t xml:space="preserve">a: </t>
    </r>
    <r>
      <rPr>
        <sz val="10"/>
        <rFont val="Times New Roman"/>
        <family val="0"/>
      </rPr>
      <t>per l'anno educativo 2000-2001 la popolazione è riferita al 31/12/2000, per i due anni seguenti al 30/06;</t>
    </r>
  </si>
  <si>
    <r>
      <t>c:</t>
    </r>
    <r>
      <rPr>
        <sz val="10"/>
        <rFont val="Times New Roman"/>
        <family val="1"/>
      </rPr>
      <t xml:space="preserve"> i dati degli assegni ex Lege 1204/71 si riferiscono agli anni solari  2000, 2001, 2002 (gestito dal Coord. Servizi Sociali).</t>
    </r>
  </si>
  <si>
    <t>SU 2001-2002</t>
  </si>
  <si>
    <t>RISORSE DA ATTRIBUIRE AI QUARTIERI NEL CORSO DELL'ESERCIZIO 2002</t>
  </si>
  <si>
    <t>Estate in città 12-14 anni</t>
  </si>
  <si>
    <t>Fondo per convenzionamento con CAF</t>
  </si>
  <si>
    <t>Meno una sezione alle Marconi (S. Stefano), passaggio allo Stato.</t>
  </si>
  <si>
    <t>(b)</t>
  </si>
  <si>
    <t>(c)</t>
  </si>
  <si>
    <t>(d)</t>
  </si>
  <si>
    <t>(e)</t>
  </si>
  <si>
    <t>(f)</t>
  </si>
  <si>
    <t>FISM - Sezioni Primavera (grandi)</t>
  </si>
  <si>
    <r>
      <t>d:</t>
    </r>
    <r>
      <rPr>
        <sz val="10"/>
        <rFont val="Times New Roman"/>
        <family val="1"/>
      </rPr>
      <t xml:space="preserve"> il servizio è gestito dal Settore Istruzione. Nell'anno 2000-2001 non è stato possibile avviare l'esperienza, si ipotizza l'attivazione nel 2002 </t>
    </r>
  </si>
  <si>
    <t>tramite il ricorso a figure professionali di educatrici, con apposito bando.</t>
  </si>
  <si>
    <t>Ap. anno</t>
  </si>
  <si>
    <t>Complessivamente è prevista una disponibilità di ulteriori posti per</t>
  </si>
  <si>
    <t>l'orientamento ad un "trasferimento" del ricorso dalle case di riposo</t>
  </si>
  <si>
    <t>alle case protette/RSA, mantenendo una lieve tendenza</t>
  </si>
  <si>
    <t>all'incremento, come sembrano evidenziare i dati di andamento mensile nel corso del 2001</t>
  </si>
  <si>
    <t>Apertura del centro diurno di Via Campana (S. Donato): 14 posti</t>
  </si>
  <si>
    <t>un ammontare pari a circa 200, tuttavia si ritiene di ribadire</t>
  </si>
  <si>
    <r>
      <t>#:</t>
    </r>
    <r>
      <rPr>
        <sz val="10"/>
        <rFont val="Times New Roman"/>
        <family val="0"/>
      </rPr>
      <t>per l'anno educativo 2000-2001 la popolazione è riferita al 31/12/2000, per i due anni seguenti al 30/06;</t>
    </r>
  </si>
  <si>
    <r>
      <t>a:</t>
    </r>
    <r>
      <rPr>
        <sz val="10"/>
        <rFont val="Times New Roman"/>
        <family val="1"/>
      </rPr>
      <t xml:space="preserve"> rispetto all'anno precedente: + 2 sezioni al q.re Borgo Panigale (A. Moro, Villa May) e + 1 sezione al q.re S. Donato (Rocca). </t>
    </r>
  </si>
  <si>
    <r>
      <t>b:</t>
    </r>
    <r>
      <rPr>
        <sz val="10"/>
        <rFont val="Times New Roman"/>
        <family val="1"/>
      </rPr>
      <t xml:space="preserve"> +1 sez. Marconi (S. Stefano),  Scandellara (S. Vitale), D. Marella (Savena).</t>
    </r>
  </si>
  <si>
    <r>
      <t>c:</t>
    </r>
    <r>
      <rPr>
        <sz val="10"/>
        <rFont val="Times New Roman"/>
        <family val="1"/>
      </rPr>
      <t xml:space="preserve"> + 2 sezioni S. Alberto Magno (Saragozza), +1 sez. Farlottine (Savena)</t>
    </r>
  </si>
  <si>
    <t>Struttura di Via Albertoni: inclusi nell'incremento dei 200 posti complessivi</t>
  </si>
  <si>
    <t>(accreditamento e ARAD) con trasferimento di risorse dal Settore Coord. Serv. Sociali</t>
  </si>
  <si>
    <t>Ulteriori 67 posti di centro diurno disponibili a livello cittadino, nel 2002 nelle seguenti strutture:</t>
  </si>
  <si>
    <t>Di cui non residenti</t>
  </si>
  <si>
    <t>Si ipotizza un convenzionamento progressivo in corso d'anno per questi posti.</t>
  </si>
  <si>
    <t>109 posti di scuola autonoma nel quartiere S. Stefano.</t>
  </si>
  <si>
    <r>
      <t>e:</t>
    </r>
    <r>
      <rPr>
        <sz val="10"/>
        <rFont val="Times New Roman"/>
        <family val="1"/>
      </rPr>
      <t xml:space="preserve"> rispetto all'apertura 2001-02, si possono ipotizzare anche ulteriori 40 posti in struttura di proprietà IACP di Via Pasubio e in struttura di proprietà Finemiro, </t>
    </r>
  </si>
  <si>
    <t>previo completamento dei lavori di adeguamento dei locali. In tale eventualità si procederà alla valutazione di impatto economico.</t>
  </si>
  <si>
    <t xml:space="preserve">Ad apertura anno scolastico 2001-2002 risultano liberi ancora </t>
  </si>
  <si>
    <t>Convenzione con AUSL per ADI</t>
  </si>
  <si>
    <t xml:space="preserve">Sperimentazioni Assistenza Domiciliare </t>
  </si>
  <si>
    <t>Assegni di cura</t>
  </si>
  <si>
    <t>Altri servizi agli anziani</t>
  </si>
  <si>
    <t xml:space="preserve">RSA comunali </t>
  </si>
  <si>
    <t>Centro diurno S. Donato e ulteriori convenzioni</t>
  </si>
  <si>
    <t>Risorse (migliaia di Euro)</t>
  </si>
  <si>
    <t>ULTERIORI SERVIZI (migliaia di Euro):</t>
  </si>
  <si>
    <t>TOTALE RISORSE (migliaia di Euro)</t>
  </si>
  <si>
    <r>
      <t>f:</t>
    </r>
    <r>
      <rPr>
        <sz val="10"/>
        <rFont val="Times New Roman"/>
        <family val="1"/>
      </rPr>
      <t xml:space="preserve"> FISM ha ampia disponibilità, un'ipotesi può essere 5 sezioni da 20 posti, che accoglierebbero bambini che non trovano posto per ragioni di reddito</t>
    </r>
  </si>
  <si>
    <t>in strutture comunali. Sulla retta massima ipotizzata (1 milione), contributo comunale di 300 mila lire al mese pro-capite.</t>
  </si>
  <si>
    <t>(In Euro)</t>
  </si>
  <si>
    <t>Progetto Centro di assistenza telefonica</t>
  </si>
  <si>
    <t>Di cui non residenti (*)</t>
  </si>
  <si>
    <r>
      <t>*</t>
    </r>
    <r>
      <rPr>
        <sz val="10"/>
        <rFont val="Times New Roman"/>
        <family val="1"/>
      </rPr>
      <t>: nell'anno 2001-2002 tale dato non è disponibile ed è stimato sulla base di quello dell'anno precedente, allo stesso modo per il 2002-03.</t>
    </r>
  </si>
  <si>
    <t>Ad apertura d'anno 2000-01 risultavano non occupati 46 posti su 5.221.</t>
  </si>
  <si>
    <t>Ad apertura d'anno 2001-02 risultano non occupati 112 posti su 5.280.</t>
  </si>
  <si>
    <t>P.O.</t>
  </si>
  <si>
    <t xml:space="preserve">BUDGET 2002-2003: SERVIZI PER LA PRIMA INFANZIA </t>
  </si>
  <si>
    <t>BUDGET 2002-2003: SISTEMA INTEGRATO SCUOLE DELL'INFANZIA</t>
  </si>
  <si>
    <t>PRC2</t>
  </si>
  <si>
    <t>Contributo della regione Q.re Reno</t>
  </si>
  <si>
    <t>Reimpiego Contributo Bologna 2000</t>
  </si>
  <si>
    <t>Reimpiego contr. Stato minori a rischio</t>
  </si>
  <si>
    <t>Reimpiego contributo regionale per i nomadi</t>
  </si>
  <si>
    <t>Cultura</t>
  </si>
  <si>
    <t xml:space="preserve"> </t>
  </si>
  <si>
    <t>2001 (senza E.C.)</t>
  </si>
  <si>
    <t>*: si veda il riepilogo delle risorse centralizzate nella pagina seguente</t>
  </si>
  <si>
    <t>RISORSE GESTITE CENTRALMENTE DALL'AREA FUNZIONALE COORDINAMENTO ORGANIZZAZIONE DECENTRATA</t>
  </si>
  <si>
    <t>Impianti sportivi in convenzione</t>
  </si>
  <si>
    <t xml:space="preserve">Altre risorse gestite dal coordinamento </t>
  </si>
  <si>
    <t>Centro diurno di Savena in convenzione</t>
  </si>
  <si>
    <t>Estate in città grandi (6-11 e 12-14 anni)</t>
  </si>
  <si>
    <t>Piano di offerta formativa</t>
  </si>
  <si>
    <t xml:space="preserve">BDG 2002 ORGANIZZAZIONE DECENTRATA </t>
  </si>
  <si>
    <t>BUDGET 2002 QUARTIERI - SERVIZI SOCIO-ASSISTENZIALI DELEGATI</t>
  </si>
  <si>
    <t>su PRC2</t>
  </si>
  <si>
    <t>(escluse entrate corrispondenti: 607 mila € a cons 2000, 19 mila a Prc2)</t>
  </si>
  <si>
    <t>Mantenuta centralizzata la quota di risorse destinata ai beni durevoli per le biblioteche</t>
  </si>
  <si>
    <t>Sperimentazione anziani/Vacanze</t>
  </si>
  <si>
    <t>Rispetto agli indirizzi: spostamento di risorse sull'handicap</t>
  </si>
  <si>
    <t>dai servizi integrativi</t>
  </si>
  <si>
    <t>Stanziamenti che risentono della modifica del PEG. Parte delle risorse rispetto al 2001</t>
  </si>
  <si>
    <t>Vedi nota su interventi promozionali</t>
  </si>
  <si>
    <t>Previste le risorse per l'intero esercizio 2002 solo per impianti già in convenzione nel corso del 2001.</t>
  </si>
  <si>
    <t>Non previste risorse richieste nei PO per progetti, personale in convenzione e minori a rischio.</t>
  </si>
  <si>
    <t>sono trasferite sui singoli servizi (in particolare cultura)</t>
  </si>
  <si>
    <t xml:space="preserve">Risorse precedentemente gestite dal Settore Coordinamento </t>
  </si>
  <si>
    <t>Servizi Sociali.</t>
  </si>
  <si>
    <t>Di cui 129 per ADI Ausl, 263 per sperimentazioni. Nel 2001 sul budget  Coord. Serv. Sociali</t>
  </si>
  <si>
    <t>ai quartieri.</t>
  </si>
  <si>
    <t>Mantenute al centro le risorse per la piccola manutenzione/volontariato (103 mila Euro)</t>
  </si>
  <si>
    <t>USCITE</t>
  </si>
  <si>
    <t>Contributo utenti per mensa</t>
  </si>
  <si>
    <t>(migliaia di Euro)</t>
  </si>
  <si>
    <t xml:space="preserve">Contributo utenti per servizi domiciliari </t>
  </si>
  <si>
    <t>(Assistenza domic. e telesoccorso)</t>
  </si>
  <si>
    <t>Rimborsi dalle famiglie degli utenti</t>
  </si>
  <si>
    <t>ricoverati in strutture</t>
  </si>
  <si>
    <t>Contributo utenti per centri diurni</t>
  </si>
  <si>
    <t>Rimborso spese dai centri sociali anziani</t>
  </si>
  <si>
    <t>Proventi dei canoni per l'utilizzo degli immobili</t>
  </si>
  <si>
    <t>da parte delle Libere Forme Associative</t>
  </si>
  <si>
    <t>ENTRATE</t>
  </si>
  <si>
    <t xml:space="preserve">Contributo AUSL per Assistenza domiciliare </t>
  </si>
  <si>
    <t>integrata e centri diurni</t>
  </si>
  <si>
    <t>(g)</t>
  </si>
  <si>
    <r>
      <t>g:</t>
    </r>
    <r>
      <rPr>
        <sz val="10"/>
        <rFont val="Times New Roman"/>
        <family val="1"/>
      </rPr>
      <t xml:space="preserve"> in sede di P.O. il quartiere Navile, compatibilmente con il rispetto delle norme di sicurezza, segnala la possibilità di attivare complessivi 14 posti part-time</t>
    </r>
  </si>
  <si>
    <t>Costo stimato su base annua 155 mila Euro, sull'esercizio 2002 38 mila Euro.</t>
  </si>
  <si>
    <t>Risorse assestate sul budget del Settore Istruzione</t>
  </si>
  <si>
    <t>Con richiesta di finanziamento regionale</t>
  </si>
  <si>
    <r>
      <t>b:</t>
    </r>
    <r>
      <rPr>
        <sz val="10"/>
        <rFont val="Times New Roman"/>
        <family val="1"/>
      </rPr>
      <t xml:space="preserve"> si prevedono 24 posti al ristrutturato nido Mazzoni (Savena), di cui 15 piccoli e 9 medi-grandi, 15 posti piccoli al nido Torretta (S. Donato), 8 posti medi-grandi al nido Marsili (Navile)</t>
    </r>
  </si>
  <si>
    <t xml:space="preserve"> per medi e grandi nelle strutture Marsili e Croce Coperta (+6 rispetto agli indirizzi). S. Donato ipotizza presso il nido Torretta una sezione da 12 e ulteriori 8 posti medi-grandi (-3 piccoli, </t>
  </si>
  <si>
    <t xml:space="preserve"> e + 8 medi-grandi rispetto agli indirizzi). Saragozza segnala la possibile apertura di 12 posti part-time presso il nido Aquilone, non previsti in sede di indirizzi.</t>
  </si>
  <si>
    <r>
      <t>e:</t>
    </r>
    <r>
      <rPr>
        <sz val="10"/>
        <rFont val="Times New Roman"/>
        <family val="1"/>
      </rPr>
      <t xml:space="preserve"> 2 sezioni a Navile (ex Bentini), 1 a Reno, 2 a Savena (Costa). Due ulteriori sezioni da individuare  a fronte di chiusure comunali. </t>
    </r>
  </si>
  <si>
    <t>Risorse sul budget del Settore Istruzione</t>
  </si>
  <si>
    <t>Dai P.O. formulati dai non emergono indicazioni circa le possibili due nuove statalizzazioni.</t>
  </si>
  <si>
    <r>
      <t>d:</t>
    </r>
    <r>
      <rPr>
        <sz val="10"/>
        <rFont val="Times New Roman"/>
        <family val="1"/>
      </rPr>
      <t xml:space="preserve"> in sede di Programma Obiettivo il Q.re Saragozza propone un incremento di due sezioni presso le Arco Guidi.</t>
    </r>
  </si>
  <si>
    <t>Rispetto agli indirizzi, i PO presentano un esubero di 56 mila Euro sulle strutture: fondo centralizzato.</t>
  </si>
  <si>
    <t xml:space="preserve">Stanziamenti che risentono della modifica del PEG intervenuta. </t>
  </si>
  <si>
    <t>Dal 2002 gli aiuti all'autonomia sono inclusi negli altri servizi socio-assistenziali,</t>
  </si>
  <si>
    <t>2001 (*)</t>
  </si>
  <si>
    <t xml:space="preserve">Il Q.re Reno segnala la possibilità di aprire anche una seconda sezione statale presso i locali del Giovanni XXIII, da cui si spostano due sezioni della scuola Don Milani, </t>
  </si>
  <si>
    <t>e chiede all'amministrazione che vengano adottati tutti gli atti necessari a tal fine (adeguamento locali - manutenzioni straordinarie).</t>
  </si>
  <si>
    <t xml:space="preserve">BUDGET 2002 ORGANIZZAZIONE DECENTRATA </t>
  </si>
  <si>
    <t>in seguito alla revisione del PEG.</t>
  </si>
  <si>
    <t>*: i dati di Prc2 riferiti al numero di utenti sono ottenuti dalla media delle prime  8 rilevazioni mensili effettuate nel corso dell'anno.</t>
  </si>
  <si>
    <t>f: due ulteriori sezioni a Borgo Panigale (scuola Steineriana). Risorse al momento disponibili su stanziamenti centrali (Coord. Org. Dec.).</t>
  </si>
  <si>
    <t>Le ore di AD a budget sono così suddivise: 383 mila in convenzione, 50 mila volontariato, 44.500 sperimentazioni</t>
  </si>
  <si>
    <t>Pallavicini (Borgo P.),  Via Albertoni (S. Vitale), Bentivoglio (S. Vitale), Via Paradiso (Saragozza).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</si>
</sst>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#,##0.0"/>
    <numFmt numFmtId="166" formatCode="0.000"/>
  </numFmts>
  <fonts count="21">
    <font>
      <sz val="10"/>
      <name val="Arial"/>
      <family val="0"/>
    </font>
    <font>
      <b/>
      <sz val="11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0"/>
      <name val="Symbol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Symbol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(WT)"/>
      <family val="1"/>
    </font>
    <font>
      <b/>
      <u val="single"/>
      <sz val="8"/>
      <name val="Arial"/>
      <family val="2"/>
    </font>
    <font>
      <u val="single"/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Continuous"/>
    </xf>
    <xf numFmtId="3" fontId="4" fillId="0" borderId="2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3" fontId="2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/>
    </xf>
    <xf numFmtId="3" fontId="2" fillId="0" borderId="9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3" fontId="3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9" xfId="0" applyFont="1" applyBorder="1" applyAlignment="1">
      <alignment/>
    </xf>
    <xf numFmtId="0" fontId="11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3" fontId="8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right"/>
    </xf>
    <xf numFmtId="0" fontId="8" fillId="0" borderId="6" xfId="0" applyFont="1" applyBorder="1" applyAlignment="1">
      <alignment/>
    </xf>
    <xf numFmtId="4" fontId="7" fillId="0" borderId="9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1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6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43" fontId="7" fillId="0" borderId="6" xfId="15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43" fontId="0" fillId="0" borderId="6" xfId="15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8" xfId="0" applyFont="1" applyBorder="1" applyAlignment="1">
      <alignment/>
    </xf>
    <xf numFmtId="43" fontId="8" fillId="0" borderId="6" xfId="15" applyFont="1" applyBorder="1" applyAlignment="1">
      <alignment/>
    </xf>
    <xf numFmtId="3" fontId="7" fillId="0" borderId="8" xfId="15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43" fontId="8" fillId="0" borderId="6" xfId="15" applyFont="1" applyBorder="1" applyAlignment="1">
      <alignment horizontal="left"/>
    </xf>
    <xf numFmtId="3" fontId="7" fillId="0" borderId="8" xfId="15" applyNumberFormat="1" applyFont="1" applyBorder="1" applyAlignment="1">
      <alignment horizontal="right"/>
    </xf>
    <xf numFmtId="3" fontId="7" fillId="0" borderId="6" xfId="15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3" fontId="7" fillId="0" borderId="7" xfId="15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center"/>
    </xf>
    <xf numFmtId="3" fontId="7" fillId="0" borderId="6" xfId="15" applyNumberFormat="1" applyFont="1" applyBorder="1" applyAlignment="1">
      <alignment horizontal="right"/>
    </xf>
    <xf numFmtId="3" fontId="7" fillId="0" borderId="0" xfId="15" applyNumberFormat="1" applyFont="1" applyBorder="1" applyAlignment="1">
      <alignment horizontal="right"/>
    </xf>
    <xf numFmtId="3" fontId="7" fillId="0" borderId="8" xfId="15" applyNumberFormat="1" applyFont="1" applyBorder="1" applyAlignment="1">
      <alignment horizontal="right"/>
    </xf>
    <xf numFmtId="2" fontId="7" fillId="0" borderId="6" xfId="15" applyNumberFormat="1" applyFont="1" applyBorder="1" applyAlignment="1">
      <alignment horizontal="right"/>
    </xf>
    <xf numFmtId="2" fontId="7" fillId="0" borderId="0" xfId="15" applyNumberFormat="1" applyFont="1" applyBorder="1" applyAlignment="1">
      <alignment horizontal="right"/>
    </xf>
    <xf numFmtId="2" fontId="7" fillId="0" borderId="8" xfId="15" applyNumberFormat="1" applyFont="1" applyBorder="1" applyAlignment="1">
      <alignment horizontal="right"/>
    </xf>
    <xf numFmtId="4" fontId="7" fillId="0" borderId="8" xfId="0" applyNumberFormat="1" applyFont="1" applyBorder="1" applyAlignment="1">
      <alignment/>
    </xf>
    <xf numFmtId="43" fontId="8" fillId="0" borderId="9" xfId="15" applyFont="1" applyBorder="1" applyAlignment="1">
      <alignment horizontal="left"/>
    </xf>
    <xf numFmtId="3" fontId="7" fillId="0" borderId="9" xfId="15" applyNumberFormat="1" applyFont="1" applyBorder="1" applyAlignment="1">
      <alignment horizontal="right"/>
    </xf>
    <xf numFmtId="3" fontId="7" fillId="0" borderId="15" xfId="15" applyNumberFormat="1" applyFont="1" applyBorder="1" applyAlignment="1">
      <alignment horizontal="right"/>
    </xf>
    <xf numFmtId="3" fontId="7" fillId="0" borderId="4" xfId="15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2" fontId="7" fillId="0" borderId="8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8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4" fontId="7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/>
    </xf>
    <xf numFmtId="0" fontId="7" fillId="0" borderId="9" xfId="0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2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6" xfId="0" applyFont="1" applyBorder="1" applyAlignment="1">
      <alignment horizontal="left"/>
    </xf>
    <xf numFmtId="4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3" fontId="8" fillId="0" borderId="8" xfId="15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0" fontId="14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4" fillId="0" borderId="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17" fillId="0" borderId="0" xfId="0" applyFont="1" applyAlignment="1">
      <alignment/>
    </xf>
    <xf numFmtId="2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8" fillId="0" borderId="0" xfId="15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9.8515625" style="0" customWidth="1"/>
    <col min="3" max="3" width="10.57421875" style="0" customWidth="1"/>
    <col min="4" max="4" width="1.7109375" style="0" customWidth="1"/>
    <col min="5" max="5" width="10.57421875" style="0" customWidth="1"/>
    <col min="6" max="6" width="3.140625" style="0" bestFit="1" customWidth="1"/>
    <col min="7" max="7" width="11.28125" style="19" customWidth="1"/>
    <col min="8" max="8" width="3.28125" style="0" customWidth="1"/>
    <col min="9" max="9" width="10.57421875" style="0" hidden="1" customWidth="1"/>
    <col min="10" max="10" width="11.28125" style="0" customWidth="1"/>
    <col min="11" max="11" width="8.57421875" style="0" customWidth="1"/>
    <col min="12" max="12" width="6.140625" style="0" customWidth="1"/>
    <col min="18" max="18" width="1.8515625" style="0" customWidth="1"/>
  </cols>
  <sheetData>
    <row r="1" spans="1:2" ht="15.75">
      <c r="A1" s="77" t="s">
        <v>157</v>
      </c>
      <c r="B1" s="77"/>
    </row>
    <row r="2" spans="1:2" ht="15.75">
      <c r="A2" s="68"/>
      <c r="B2" s="77"/>
    </row>
    <row r="4" spans="1:11" ht="12.75">
      <c r="A4" s="78"/>
      <c r="B4" s="160" t="s">
        <v>73</v>
      </c>
      <c r="C4" s="79" t="s">
        <v>74</v>
      </c>
      <c r="D4" s="80"/>
      <c r="E4" s="183" t="s">
        <v>103</v>
      </c>
      <c r="F4" s="184"/>
      <c r="G4" s="183" t="s">
        <v>103</v>
      </c>
      <c r="H4" s="184"/>
      <c r="I4" s="81" t="s">
        <v>74</v>
      </c>
      <c r="J4" s="82" t="s">
        <v>1</v>
      </c>
      <c r="K4" s="82" t="s">
        <v>1</v>
      </c>
    </row>
    <row r="5" spans="1:11" ht="12.75">
      <c r="A5" s="83"/>
      <c r="B5" s="84" t="s">
        <v>0</v>
      </c>
      <c r="C5" s="85" t="s">
        <v>119</v>
      </c>
      <c r="D5" s="86"/>
      <c r="E5" s="87" t="s">
        <v>156</v>
      </c>
      <c r="F5" s="85"/>
      <c r="G5" s="181" t="s">
        <v>2</v>
      </c>
      <c r="H5" s="182"/>
      <c r="I5" s="88" t="s">
        <v>2</v>
      </c>
      <c r="J5" s="88" t="s">
        <v>106</v>
      </c>
      <c r="K5" s="88" t="s">
        <v>75</v>
      </c>
    </row>
    <row r="6" spans="1:11" ht="12.75">
      <c r="A6" s="89" t="s">
        <v>76</v>
      </c>
      <c r="B6" s="90">
        <v>7945</v>
      </c>
      <c r="C6" s="91">
        <f>SUM(C7:C8)</f>
        <v>8066</v>
      </c>
      <c r="D6" s="92"/>
      <c r="E6" s="93">
        <f>SUM(E7:E8)</f>
        <v>8341</v>
      </c>
      <c r="F6" s="91"/>
      <c r="G6" s="93">
        <f>SUM(G7:G8)</f>
        <v>8341</v>
      </c>
      <c r="H6" s="92"/>
      <c r="I6" s="90">
        <f>SUM(I7:I8)</f>
        <v>8117</v>
      </c>
      <c r="J6" s="136">
        <f>SUM(J7:J8)</f>
        <v>275</v>
      </c>
      <c r="K6" s="94">
        <f>+J6/C6*100</f>
        <v>3.4093726754277216</v>
      </c>
    </row>
    <row r="7" spans="1:11" ht="12.75">
      <c r="A7" s="95" t="s">
        <v>77</v>
      </c>
      <c r="B7" s="96">
        <v>2785</v>
      </c>
      <c r="C7" s="91">
        <v>2759</v>
      </c>
      <c r="D7" s="92"/>
      <c r="E7" s="97">
        <v>2800</v>
      </c>
      <c r="F7" s="91"/>
      <c r="G7" s="97">
        <v>2800</v>
      </c>
      <c r="H7" s="92"/>
      <c r="I7" s="96">
        <v>2800</v>
      </c>
      <c r="J7" s="92">
        <f>+G7-C7</f>
        <v>41</v>
      </c>
      <c r="K7" s="94">
        <f aca="true" t="shared" si="0" ref="K7:K24">+J7/C7*100</f>
        <v>1.4860456687205508</v>
      </c>
    </row>
    <row r="8" spans="1:11" ht="12.75">
      <c r="A8" s="95" t="s">
        <v>78</v>
      </c>
      <c r="B8" s="96">
        <f>+B6-B7</f>
        <v>5160</v>
      </c>
      <c r="C8" s="91">
        <v>5307</v>
      </c>
      <c r="D8" s="92"/>
      <c r="E8" s="97">
        <v>5541</v>
      </c>
      <c r="F8" s="91"/>
      <c r="G8" s="97">
        <v>5541</v>
      </c>
      <c r="H8" s="92"/>
      <c r="I8" s="96">
        <f>2795+2522</f>
        <v>5317</v>
      </c>
      <c r="J8" s="92">
        <f>+G8-C8</f>
        <v>234</v>
      </c>
      <c r="K8" s="94">
        <f t="shared" si="0"/>
        <v>4.409270774448841</v>
      </c>
    </row>
    <row r="9" spans="1:11" ht="12.75">
      <c r="A9" s="98"/>
      <c r="B9" s="96"/>
      <c r="C9" s="91"/>
      <c r="D9" s="92"/>
      <c r="E9" s="91"/>
      <c r="F9" s="91"/>
      <c r="G9" s="99"/>
      <c r="H9" s="100"/>
      <c r="I9" s="89"/>
      <c r="J9" s="101"/>
      <c r="K9" s="94"/>
    </row>
    <row r="10" spans="1:12" ht="12.75">
      <c r="A10" s="102" t="s">
        <v>79</v>
      </c>
      <c r="B10" s="96">
        <f>SUM(B11:B12)</f>
        <v>1983</v>
      </c>
      <c r="C10" s="91">
        <f>SUM(C11:C12)</f>
        <v>2060</v>
      </c>
      <c r="D10" s="103"/>
      <c r="E10" s="91">
        <f>SUM(E11:E12)</f>
        <v>2103</v>
      </c>
      <c r="F10" s="116"/>
      <c r="G10" s="97">
        <f>SUM(G11:G12)</f>
        <v>2108</v>
      </c>
      <c r="H10" s="104"/>
      <c r="I10" s="96">
        <f>SUM(I11:I12)</f>
        <v>2035</v>
      </c>
      <c r="J10" s="92">
        <f>SUM(J11:J12)</f>
        <v>48</v>
      </c>
      <c r="K10" s="94">
        <f t="shared" si="0"/>
        <v>2.3300970873786406</v>
      </c>
      <c r="L10" s="105"/>
    </row>
    <row r="11" spans="1:12" ht="12.75">
      <c r="A11" s="95" t="s">
        <v>77</v>
      </c>
      <c r="B11" s="56">
        <f>406-19</f>
        <v>387</v>
      </c>
      <c r="C11" s="106">
        <v>428</v>
      </c>
      <c r="D11" s="107"/>
      <c r="E11" s="106">
        <f>464-2</f>
        <v>462</v>
      </c>
      <c r="F11" s="106"/>
      <c r="G11" s="108">
        <f>+C11+30</f>
        <v>458</v>
      </c>
      <c r="H11" s="107"/>
      <c r="I11" s="56">
        <v>423</v>
      </c>
      <c r="J11" s="92">
        <f>+G11-C11</f>
        <v>30</v>
      </c>
      <c r="K11" s="94">
        <f t="shared" si="0"/>
        <v>7.009345794392523</v>
      </c>
      <c r="L11" s="109"/>
    </row>
    <row r="12" spans="1:12" ht="12.75">
      <c r="A12" s="95" t="s">
        <v>78</v>
      </c>
      <c r="B12" s="57">
        <f>1609-13</f>
        <v>1596</v>
      </c>
      <c r="C12" s="110">
        <v>1632</v>
      </c>
      <c r="D12" s="111"/>
      <c r="E12" s="110">
        <f>1844-203</f>
        <v>1641</v>
      </c>
      <c r="F12" s="110"/>
      <c r="G12" s="112">
        <f>+C12+18</f>
        <v>1650</v>
      </c>
      <c r="H12" s="111"/>
      <c r="I12" s="57">
        <v>1612</v>
      </c>
      <c r="J12" s="92">
        <f>+G12-C12</f>
        <v>18</v>
      </c>
      <c r="K12" s="94">
        <f t="shared" si="0"/>
        <v>1.1029411764705883</v>
      </c>
      <c r="L12" s="109"/>
    </row>
    <row r="13" spans="1:12" ht="12.75">
      <c r="A13" s="95"/>
      <c r="B13" s="57"/>
      <c r="C13" s="110"/>
      <c r="D13" s="111"/>
      <c r="E13" s="110"/>
      <c r="F13" s="110"/>
      <c r="G13" s="112"/>
      <c r="H13" s="111"/>
      <c r="I13" s="57"/>
      <c r="J13" s="92"/>
      <c r="K13" s="94"/>
      <c r="L13" s="109"/>
    </row>
    <row r="14" spans="1:12" ht="12.75">
      <c r="A14" s="113" t="s">
        <v>80</v>
      </c>
      <c r="B14" s="96">
        <f>SUM(B15:B16)</f>
        <v>181</v>
      </c>
      <c r="C14" s="91">
        <f>SUM(C15:C16)</f>
        <v>176</v>
      </c>
      <c r="D14" s="114"/>
      <c r="E14" s="91">
        <f>SUM(E15:E16)</f>
        <v>210</v>
      </c>
      <c r="F14" s="114"/>
      <c r="G14" s="91">
        <f>SUM(G15:G16)</f>
        <v>176</v>
      </c>
      <c r="H14" s="92"/>
      <c r="I14" s="96">
        <f>SUM(I15:I16)</f>
        <v>197</v>
      </c>
      <c r="J14" s="92">
        <f>SUM(J15:J16)</f>
        <v>0</v>
      </c>
      <c r="K14" s="94">
        <f t="shared" si="0"/>
        <v>0</v>
      </c>
      <c r="L14" s="109"/>
    </row>
    <row r="15" spans="1:12" ht="12.75">
      <c r="A15" s="95" t="s">
        <v>77</v>
      </c>
      <c r="B15" s="56">
        <v>19</v>
      </c>
      <c r="C15" s="106">
        <v>7</v>
      </c>
      <c r="D15" s="107"/>
      <c r="E15" s="106">
        <v>7</v>
      </c>
      <c r="F15" s="107"/>
      <c r="G15" s="106">
        <v>7</v>
      </c>
      <c r="H15" s="107"/>
      <c r="I15" s="56">
        <v>25</v>
      </c>
      <c r="J15" s="92">
        <f>+G15-C15</f>
        <v>0</v>
      </c>
      <c r="K15" s="94">
        <f t="shared" si="0"/>
        <v>0</v>
      </c>
      <c r="L15" s="109"/>
    </row>
    <row r="16" spans="1:12" ht="12.75">
      <c r="A16" s="95" t="s">
        <v>78</v>
      </c>
      <c r="B16" s="96">
        <f>149+13</f>
        <v>162</v>
      </c>
      <c r="C16" s="91">
        <v>169</v>
      </c>
      <c r="D16" s="92"/>
      <c r="E16" s="91">
        <v>203</v>
      </c>
      <c r="F16" s="92"/>
      <c r="G16" s="91">
        <v>169</v>
      </c>
      <c r="H16" s="92"/>
      <c r="I16" s="96">
        <f>23+149</f>
        <v>172</v>
      </c>
      <c r="J16" s="92">
        <f>+G16-C16</f>
        <v>0</v>
      </c>
      <c r="K16" s="94">
        <f t="shared" si="0"/>
        <v>0</v>
      </c>
      <c r="L16" s="109"/>
    </row>
    <row r="17" spans="1:12" ht="12.75">
      <c r="A17" s="95"/>
      <c r="B17" s="96"/>
      <c r="C17" s="91"/>
      <c r="D17" s="92"/>
      <c r="E17" s="91"/>
      <c r="F17" s="91"/>
      <c r="G17" s="108"/>
      <c r="H17" s="107"/>
      <c r="I17" s="56"/>
      <c r="J17" s="101"/>
      <c r="K17" s="94"/>
      <c r="L17" s="109"/>
    </row>
    <row r="18" spans="1:12" ht="12.75">
      <c r="A18" s="113" t="s">
        <v>81</v>
      </c>
      <c r="B18" s="115">
        <f>SUM(B19:B20)</f>
        <v>2164</v>
      </c>
      <c r="C18" s="116">
        <f>SUM(C19:C20)</f>
        <v>2236</v>
      </c>
      <c r="D18" s="103"/>
      <c r="E18" s="116">
        <f>SUM(E19:E20)</f>
        <v>2313</v>
      </c>
      <c r="F18" s="177" t="s">
        <v>206</v>
      </c>
      <c r="G18" s="117">
        <f>SUM(G19:G20)</f>
        <v>2284</v>
      </c>
      <c r="H18" s="161" t="s">
        <v>111</v>
      </c>
      <c r="I18" s="115">
        <f>SUM(I19:I20)</f>
        <v>2232</v>
      </c>
      <c r="J18" s="92">
        <f>SUM(J19:J20)</f>
        <v>48</v>
      </c>
      <c r="K18" s="94">
        <f t="shared" si="0"/>
        <v>2.146690518783542</v>
      </c>
      <c r="L18" s="109"/>
    </row>
    <row r="19" spans="1:12" ht="12.75">
      <c r="A19" s="95" t="s">
        <v>77</v>
      </c>
      <c r="B19" s="115">
        <f>+B15+B11</f>
        <v>406</v>
      </c>
      <c r="C19" s="116">
        <f>+C15+C11</f>
        <v>435</v>
      </c>
      <c r="D19" s="103"/>
      <c r="E19" s="116">
        <f>+E15+E11</f>
        <v>469</v>
      </c>
      <c r="F19" s="116"/>
      <c r="G19" s="117">
        <f>+G15+G11</f>
        <v>465</v>
      </c>
      <c r="H19" s="103"/>
      <c r="I19" s="115">
        <f>+I15+I11</f>
        <v>448</v>
      </c>
      <c r="J19" s="103">
        <f>+J15+J11</f>
        <v>30</v>
      </c>
      <c r="K19" s="94">
        <f t="shared" si="0"/>
        <v>6.896551724137931</v>
      </c>
      <c r="L19" s="109"/>
    </row>
    <row r="20" spans="1:12" ht="12.75">
      <c r="A20" s="95" t="s">
        <v>78</v>
      </c>
      <c r="B20" s="115">
        <f>+B16+B12</f>
        <v>1758</v>
      </c>
      <c r="C20" s="116">
        <f>+C16+C12</f>
        <v>1801</v>
      </c>
      <c r="D20" s="103"/>
      <c r="E20" s="116">
        <f>+E16+E12</f>
        <v>1844</v>
      </c>
      <c r="F20" s="116"/>
      <c r="G20" s="117">
        <f>+G16+G12</f>
        <v>1819</v>
      </c>
      <c r="H20" s="103"/>
      <c r="I20" s="115">
        <f>+I16+I12</f>
        <v>1784</v>
      </c>
      <c r="J20" s="103">
        <f>+J16+J12</f>
        <v>18</v>
      </c>
      <c r="K20" s="94">
        <f t="shared" si="0"/>
        <v>0.9994447529150472</v>
      </c>
      <c r="L20" s="109"/>
    </row>
    <row r="21" spans="1:12" ht="12.75">
      <c r="A21" s="95"/>
      <c r="B21" s="96"/>
      <c r="C21" s="91"/>
      <c r="D21" s="92"/>
      <c r="E21" s="91"/>
      <c r="F21" s="91"/>
      <c r="G21" s="108"/>
      <c r="H21" s="107"/>
      <c r="I21" s="56"/>
      <c r="J21" s="101"/>
      <c r="K21" s="94"/>
      <c r="L21" s="109"/>
    </row>
    <row r="22" spans="1:12" ht="12.75">
      <c r="A22" s="102" t="s">
        <v>82</v>
      </c>
      <c r="B22" s="97">
        <v>175</v>
      </c>
      <c r="C22" s="97">
        <v>245</v>
      </c>
      <c r="D22" s="92"/>
      <c r="E22" s="97">
        <v>245</v>
      </c>
      <c r="F22" s="91"/>
      <c r="G22" s="97">
        <v>245</v>
      </c>
      <c r="H22" s="104"/>
      <c r="I22" s="96">
        <v>250</v>
      </c>
      <c r="J22" s="92">
        <f>+G22-C22</f>
        <v>0</v>
      </c>
      <c r="K22" s="94">
        <f t="shared" si="0"/>
        <v>0</v>
      </c>
      <c r="L22" s="109"/>
    </row>
    <row r="23" spans="1:12" ht="12.75">
      <c r="A23" s="113" t="s">
        <v>83</v>
      </c>
      <c r="B23" s="119">
        <v>0</v>
      </c>
      <c r="C23" s="119">
        <v>0</v>
      </c>
      <c r="D23" s="120"/>
      <c r="E23" s="119">
        <v>27</v>
      </c>
      <c r="F23" s="121"/>
      <c r="G23" s="119">
        <v>27</v>
      </c>
      <c r="H23" s="120"/>
      <c r="I23" s="118">
        <v>18</v>
      </c>
      <c r="J23" s="92">
        <f>+G23-C23</f>
        <v>27</v>
      </c>
      <c r="K23" s="122" t="s">
        <v>85</v>
      </c>
      <c r="L23" s="109" t="s">
        <v>210</v>
      </c>
    </row>
    <row r="24" spans="1:12" ht="12.75">
      <c r="A24" s="113" t="s">
        <v>84</v>
      </c>
      <c r="B24" s="118">
        <v>30</v>
      </c>
      <c r="C24" s="121">
        <v>31</v>
      </c>
      <c r="D24" s="120"/>
      <c r="E24" s="121">
        <v>51</v>
      </c>
      <c r="F24" s="120"/>
      <c r="G24" s="121">
        <v>51</v>
      </c>
      <c r="H24" s="162" t="s">
        <v>114</v>
      </c>
      <c r="I24" s="118">
        <v>30</v>
      </c>
      <c r="J24" s="92">
        <f>+G24-C24</f>
        <v>20</v>
      </c>
      <c r="K24" s="94">
        <f t="shared" si="0"/>
        <v>64.51612903225806</v>
      </c>
      <c r="L24" s="109" t="s">
        <v>215</v>
      </c>
    </row>
    <row r="25" spans="1:12" ht="12.75">
      <c r="A25" s="113" t="s">
        <v>116</v>
      </c>
      <c r="B25" s="118">
        <v>0</v>
      </c>
      <c r="C25" s="121">
        <v>0</v>
      </c>
      <c r="D25" s="120"/>
      <c r="E25" s="121">
        <v>100</v>
      </c>
      <c r="F25" s="120"/>
      <c r="G25" s="121">
        <v>100</v>
      </c>
      <c r="H25" s="162" t="s">
        <v>115</v>
      </c>
      <c r="I25" s="118"/>
      <c r="J25" s="92">
        <f>+G25-C25</f>
        <v>100</v>
      </c>
      <c r="K25" s="122" t="s">
        <v>85</v>
      </c>
      <c r="L25" s="109" t="s">
        <v>208</v>
      </c>
    </row>
    <row r="26" spans="1:12" ht="12.75">
      <c r="A26" s="113"/>
      <c r="B26" s="118"/>
      <c r="C26" s="121"/>
      <c r="D26" s="120"/>
      <c r="E26" s="121"/>
      <c r="F26" s="120"/>
      <c r="G26" s="121"/>
      <c r="H26" s="120"/>
      <c r="I26" s="118"/>
      <c r="J26" s="92"/>
      <c r="K26" s="122"/>
      <c r="L26" s="32" t="s">
        <v>209</v>
      </c>
    </row>
    <row r="27" spans="1:12" ht="12.75">
      <c r="A27" s="113" t="s">
        <v>86</v>
      </c>
      <c r="B27" s="123">
        <f>+B24+B23+B22+B18</f>
        <v>2369</v>
      </c>
      <c r="C27" s="124">
        <f>+C24+C23+C22+C18</f>
        <v>2512</v>
      </c>
      <c r="D27" s="125"/>
      <c r="E27" s="124">
        <f>+E24+E23+E22+E18</f>
        <v>2636</v>
      </c>
      <c r="F27" s="125"/>
      <c r="G27" s="124">
        <f>+G24+G23+G22+G18+G25</f>
        <v>2707</v>
      </c>
      <c r="H27" s="125"/>
      <c r="I27" s="123">
        <f>+I24+I23+I22+I18</f>
        <v>2530</v>
      </c>
      <c r="J27" s="125">
        <f>+J24+J23+J22+J18</f>
        <v>95</v>
      </c>
      <c r="K27" s="94">
        <f>+J27/C27*100</f>
        <v>3.7818471337579616</v>
      </c>
      <c r="L27" s="3"/>
    </row>
    <row r="28" spans="1:12" ht="12.75">
      <c r="A28" s="113" t="s">
        <v>87</v>
      </c>
      <c r="B28" s="126">
        <f>+B27/B6*100</f>
        <v>29.817495280050345</v>
      </c>
      <c r="C28" s="127">
        <f>ROUND(C27/C6*100,2)</f>
        <v>31.14</v>
      </c>
      <c r="D28" s="128"/>
      <c r="E28" s="127">
        <f>ROUND(E27/E6*100,2)</f>
        <v>31.6</v>
      </c>
      <c r="F28" s="128"/>
      <c r="G28" s="127">
        <f>ROUND(G27/G6*100,2)</f>
        <v>32.45</v>
      </c>
      <c r="H28" s="128"/>
      <c r="I28" s="126">
        <f>ROUND(I27/I6*100,2)</f>
        <v>31.17</v>
      </c>
      <c r="J28" s="129">
        <f>+G28-C28</f>
        <v>1.3100000000000023</v>
      </c>
      <c r="K28" s="122" t="s">
        <v>85</v>
      </c>
      <c r="L28" s="32"/>
    </row>
    <row r="29" spans="1:12" ht="12.75">
      <c r="A29" s="130"/>
      <c r="B29" s="131"/>
      <c r="C29" s="132"/>
      <c r="D29" s="133"/>
      <c r="E29" s="132"/>
      <c r="F29" s="133"/>
      <c r="G29" s="132"/>
      <c r="H29" s="133"/>
      <c r="I29" s="131"/>
      <c r="J29" s="137"/>
      <c r="K29" s="134"/>
      <c r="L29" s="32"/>
    </row>
    <row r="30" ht="6.75" customHeight="1">
      <c r="C30" s="19"/>
    </row>
    <row r="31" spans="1:7" s="31" customFormat="1" ht="12.75" hidden="1">
      <c r="A31" s="31" t="s">
        <v>88</v>
      </c>
      <c r="C31" s="106"/>
      <c r="G31" s="106"/>
    </row>
    <row r="32" spans="1:7" s="31" customFormat="1" ht="12.75" hidden="1">
      <c r="A32" s="31" t="s">
        <v>89</v>
      </c>
      <c r="C32" s="106"/>
      <c r="G32" s="106"/>
    </row>
    <row r="33" spans="1:7" s="31" customFormat="1" ht="12.75" hidden="1">
      <c r="A33" s="31" t="s">
        <v>90</v>
      </c>
      <c r="C33" s="106"/>
      <c r="G33" s="106"/>
    </row>
    <row r="34" spans="1:7" s="31" customFormat="1" ht="12.75" hidden="1">
      <c r="A34" s="31" t="s">
        <v>91</v>
      </c>
      <c r="C34" s="106"/>
      <c r="G34" s="106"/>
    </row>
    <row r="35" spans="1:7" s="31" customFormat="1" ht="12.75" hidden="1">
      <c r="A35" s="31" t="s">
        <v>92</v>
      </c>
      <c r="C35" s="106"/>
      <c r="G35" s="106"/>
    </row>
    <row r="36" spans="1:3" ht="12.75">
      <c r="A36" s="135" t="s">
        <v>104</v>
      </c>
      <c r="B36" s="109"/>
      <c r="C36" s="19"/>
    </row>
    <row r="37" ht="6.75" customHeight="1">
      <c r="A37" s="31"/>
    </row>
    <row r="38" ht="12.75">
      <c r="A38" s="32" t="s">
        <v>211</v>
      </c>
    </row>
    <row r="39" ht="7.5" customHeight="1">
      <c r="A39" s="31"/>
    </row>
    <row r="40" ht="12.75">
      <c r="A40" s="32" t="s">
        <v>105</v>
      </c>
    </row>
    <row r="41" ht="6.75" customHeight="1">
      <c r="A41" s="31"/>
    </row>
    <row r="42" ht="12.75">
      <c r="A42" s="32" t="s">
        <v>117</v>
      </c>
    </row>
    <row r="43" spans="1:14" ht="12.75">
      <c r="A43" s="31" t="s">
        <v>118</v>
      </c>
      <c r="N43" s="156"/>
    </row>
    <row r="44" ht="6.75" customHeight="1">
      <c r="A44" s="31"/>
    </row>
    <row r="45" ht="12.75">
      <c r="A45" s="32" t="s">
        <v>136</v>
      </c>
    </row>
    <row r="46" ht="12.75">
      <c r="A46" s="31" t="s">
        <v>137</v>
      </c>
    </row>
    <row r="47" ht="5.25" customHeight="1">
      <c r="A47" s="31"/>
    </row>
    <row r="48" ht="12.75">
      <c r="A48" s="32" t="s">
        <v>148</v>
      </c>
    </row>
    <row r="49" ht="12.75">
      <c r="A49" s="31" t="s">
        <v>149</v>
      </c>
    </row>
    <row r="50" ht="6" customHeight="1">
      <c r="A50" s="31"/>
    </row>
    <row r="51" ht="12.75">
      <c r="A51" s="32" t="s">
        <v>207</v>
      </c>
    </row>
    <row r="52" ht="12.75">
      <c r="A52" s="31" t="s">
        <v>212</v>
      </c>
    </row>
    <row r="53" ht="12.75">
      <c r="A53" s="31" t="s">
        <v>213</v>
      </c>
    </row>
    <row r="54" ht="15">
      <c r="S54" s="178">
        <v>14</v>
      </c>
    </row>
  </sheetData>
  <mergeCells count="3">
    <mergeCell ref="G5:H5"/>
    <mergeCell ref="G4:H4"/>
    <mergeCell ref="E4:F4"/>
  </mergeCells>
  <printOptions/>
  <pageMargins left="0.25" right="0.21" top="0.28" bottom="0.25" header="0.17" footer="0.1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31">
      <selection activeCell="A1" sqref="A1"/>
    </sheetView>
  </sheetViews>
  <sheetFormatPr defaultColWidth="9.140625" defaultRowHeight="12.75"/>
  <cols>
    <col min="1" max="1" width="38.421875" style="0" customWidth="1"/>
    <col min="3" max="3" width="1.421875" style="0" customWidth="1"/>
    <col min="4" max="4" width="10.421875" style="0" customWidth="1"/>
    <col min="5" max="5" width="3.8515625" style="0" customWidth="1"/>
    <col min="6" max="6" width="10.421875" style="0" customWidth="1"/>
    <col min="7" max="7" width="3.00390625" style="0" bestFit="1" customWidth="1"/>
    <col min="8" max="8" width="10.421875" style="0" customWidth="1"/>
    <col min="9" max="9" width="2.8515625" style="0" customWidth="1"/>
    <col min="10" max="10" width="10.8515625" style="0" customWidth="1"/>
    <col min="11" max="11" width="7.28125" style="0" customWidth="1"/>
    <col min="12" max="13" width="9.140625" style="51" customWidth="1"/>
    <col min="14" max="14" width="11.28125" style="51" customWidth="1"/>
    <col min="15" max="15" width="9.8515625" style="31" customWidth="1"/>
    <col min="16" max="16" width="8.28125" style="31" customWidth="1"/>
    <col min="17" max="17" width="7.57421875" style="31" customWidth="1"/>
    <col min="18" max="18" width="3.421875" style="31" customWidth="1"/>
    <col min="19" max="200" width="9.140625" style="31" customWidth="1"/>
  </cols>
  <sheetData>
    <row r="1" ht="15.75">
      <c r="A1" s="77" t="s">
        <v>158</v>
      </c>
    </row>
    <row r="2" ht="14.25">
      <c r="A2" s="68"/>
    </row>
    <row r="3" ht="9.75" customHeight="1"/>
    <row r="4" spans="1:20" ht="12.75">
      <c r="A4" s="78"/>
      <c r="B4" s="79" t="s">
        <v>73</v>
      </c>
      <c r="C4" s="80"/>
      <c r="D4" s="79" t="s">
        <v>74</v>
      </c>
      <c r="E4" s="80"/>
      <c r="F4" s="183" t="s">
        <v>103</v>
      </c>
      <c r="G4" s="184"/>
      <c r="H4" s="183" t="s">
        <v>103</v>
      </c>
      <c r="I4" s="184"/>
      <c r="J4" s="138" t="s">
        <v>1</v>
      </c>
      <c r="K4" s="82" t="s">
        <v>1</v>
      </c>
      <c r="O4"/>
      <c r="P4"/>
      <c r="Q4"/>
      <c r="R4"/>
      <c r="S4"/>
      <c r="T4"/>
    </row>
    <row r="5" spans="1:20" ht="12.75">
      <c r="A5" s="83"/>
      <c r="B5" s="139" t="s">
        <v>0</v>
      </c>
      <c r="C5" s="140"/>
      <c r="D5" s="85" t="s">
        <v>119</v>
      </c>
      <c r="E5" s="86"/>
      <c r="F5" s="181" t="s">
        <v>156</v>
      </c>
      <c r="G5" s="182"/>
      <c r="H5" s="181" t="s">
        <v>2</v>
      </c>
      <c r="I5" s="182"/>
      <c r="J5" s="141" t="s">
        <v>106</v>
      </c>
      <c r="K5" s="88" t="s">
        <v>75</v>
      </c>
      <c r="O5"/>
      <c r="P5"/>
      <c r="Q5"/>
      <c r="R5"/>
      <c r="S5"/>
      <c r="T5"/>
    </row>
    <row r="6" spans="1:11" ht="6.75" customHeight="1">
      <c r="A6" s="54"/>
      <c r="B6" s="19"/>
      <c r="C6" s="24"/>
      <c r="D6" s="91"/>
      <c r="E6" s="92"/>
      <c r="F6" s="91"/>
      <c r="G6" s="136"/>
      <c r="H6" s="91"/>
      <c r="I6" s="92"/>
      <c r="J6" s="101"/>
      <c r="K6" s="101"/>
    </row>
    <row r="7" spans="1:12" ht="12.75">
      <c r="A7" s="74" t="s">
        <v>93</v>
      </c>
      <c r="B7" s="91">
        <v>7407</v>
      </c>
      <c r="C7" s="92"/>
      <c r="D7" s="65">
        <v>7437</v>
      </c>
      <c r="E7" s="111"/>
      <c r="F7" s="110">
        <v>7553</v>
      </c>
      <c r="G7" s="111"/>
      <c r="H7" s="110">
        <v>7553</v>
      </c>
      <c r="I7" s="111"/>
      <c r="J7" s="120">
        <f>+H7-D7</f>
        <v>116</v>
      </c>
      <c r="K7" s="142">
        <f>+J7/D7*100</f>
        <v>1.5597687239478284</v>
      </c>
      <c r="L7" s="143"/>
    </row>
    <row r="8" spans="1:11" ht="4.5" customHeight="1">
      <c r="A8" s="56"/>
      <c r="B8" s="106"/>
      <c r="C8" s="107"/>
      <c r="D8" s="106"/>
      <c r="E8" s="107"/>
      <c r="F8" s="106"/>
      <c r="G8" s="107"/>
      <c r="H8" s="106"/>
      <c r="I8" s="107"/>
      <c r="J8" s="107"/>
      <c r="K8" s="107"/>
    </row>
    <row r="9" spans="1:11" ht="12.75">
      <c r="A9" s="56" t="s">
        <v>94</v>
      </c>
      <c r="B9" s="106"/>
      <c r="C9" s="107"/>
      <c r="D9" s="106"/>
      <c r="E9" s="107"/>
      <c r="F9" s="106"/>
      <c r="G9" s="107"/>
      <c r="H9" s="106"/>
      <c r="I9" s="107"/>
      <c r="J9" s="107"/>
      <c r="K9" s="107"/>
    </row>
    <row r="10" spans="1:11" ht="12.75">
      <c r="A10" s="73" t="s">
        <v>95</v>
      </c>
      <c r="B10" s="144">
        <v>210</v>
      </c>
      <c r="C10" s="101"/>
      <c r="D10" s="144">
        <v>212</v>
      </c>
      <c r="E10" s="145" t="s">
        <v>96</v>
      </c>
      <c r="F10" s="106">
        <v>214</v>
      </c>
      <c r="G10" s="145" t="s">
        <v>113</v>
      </c>
      <c r="H10" s="144">
        <v>210</v>
      </c>
      <c r="I10" s="145"/>
      <c r="J10" s="120">
        <f>+H10-D10</f>
        <v>-2</v>
      </c>
      <c r="K10" s="142">
        <f>+J10/D10*100</f>
        <v>-0.9433962264150944</v>
      </c>
    </row>
    <row r="11" spans="1:13" ht="12.75">
      <c r="A11" s="73" t="s">
        <v>97</v>
      </c>
      <c r="B11" s="91">
        <v>5175</v>
      </c>
      <c r="C11" s="92"/>
      <c r="D11" s="91">
        <v>5168</v>
      </c>
      <c r="E11" s="24"/>
      <c r="F11" s="91">
        <f>ROUND($D$11/$D$10*F10,0)</f>
        <v>5217</v>
      </c>
      <c r="G11" s="171"/>
      <c r="H11" s="91">
        <f>ROUND($D$11/$D$10*H10,0)</f>
        <v>5119</v>
      </c>
      <c r="I11" s="92"/>
      <c r="J11" s="120">
        <f>+H11-D11</f>
        <v>-49</v>
      </c>
      <c r="K11" s="142">
        <f>+J11/D11*100</f>
        <v>-0.9481424148606812</v>
      </c>
      <c r="L11" s="163" t="s">
        <v>154</v>
      </c>
      <c r="M11" s="163"/>
    </row>
    <row r="12" spans="1:13" ht="12.75">
      <c r="A12" s="73" t="s">
        <v>152</v>
      </c>
      <c r="B12" s="91">
        <v>99</v>
      </c>
      <c r="C12" s="92"/>
      <c r="D12" s="91">
        <f>ROUND(B12/B11*D11,0)</f>
        <v>99</v>
      </c>
      <c r="E12" s="24"/>
      <c r="F12" s="106">
        <f>ROUND(B12/B11*F11,0)</f>
        <v>100</v>
      </c>
      <c r="G12" s="24"/>
      <c r="H12" s="91">
        <f>ROUND(B12/B11*H11,0)</f>
        <v>98</v>
      </c>
      <c r="I12" s="92"/>
      <c r="J12" s="120">
        <f>+H12-D12</f>
        <v>-1</v>
      </c>
      <c r="K12" s="142">
        <f>+J12/D12*100</f>
        <v>-1.0101010101010102</v>
      </c>
      <c r="L12" s="163" t="s">
        <v>155</v>
      </c>
      <c r="M12" s="163"/>
    </row>
    <row r="13" spans="1:13" ht="12.75">
      <c r="A13" s="73" t="s">
        <v>98</v>
      </c>
      <c r="B13" s="146">
        <f>+B11/B$7*100</f>
        <v>69.86634264884569</v>
      </c>
      <c r="C13" s="147"/>
      <c r="D13" s="146">
        <f>+D11/D$7*100</f>
        <v>69.49038590829636</v>
      </c>
      <c r="E13" s="111"/>
      <c r="F13" s="146">
        <f>+F11/F$7*100</f>
        <v>69.07189196345823</v>
      </c>
      <c r="G13" s="111"/>
      <c r="H13" s="146">
        <f>+H11/H$7*100</f>
        <v>67.77439428041838</v>
      </c>
      <c r="I13" s="147"/>
      <c r="J13" s="148">
        <f>+H13-D13</f>
        <v>-1.7159916278779832</v>
      </c>
      <c r="K13" s="122" t="s">
        <v>85</v>
      </c>
      <c r="M13" s="163"/>
    </row>
    <row r="14" spans="1:11" ht="5.25" customHeight="1">
      <c r="A14" s="73"/>
      <c r="B14" s="110"/>
      <c r="C14" s="111"/>
      <c r="D14" s="110"/>
      <c r="E14" s="111"/>
      <c r="F14" s="110"/>
      <c r="G14" s="111"/>
      <c r="H14" s="106"/>
      <c r="I14" s="107"/>
      <c r="J14" s="107"/>
      <c r="K14" s="107"/>
    </row>
    <row r="15" spans="1:11" ht="12.75">
      <c r="A15" s="56" t="s">
        <v>99</v>
      </c>
      <c r="B15" s="110"/>
      <c r="C15" s="111"/>
      <c r="D15" s="110"/>
      <c r="E15" s="111"/>
      <c r="F15" s="110"/>
      <c r="G15" s="111"/>
      <c r="H15" s="106"/>
      <c r="I15" s="107"/>
      <c r="J15" s="107"/>
      <c r="K15" s="107"/>
    </row>
    <row r="16" spans="1:11" ht="12.75">
      <c r="A16" s="73" t="s">
        <v>95</v>
      </c>
      <c r="B16" s="110">
        <v>31</v>
      </c>
      <c r="C16" s="111"/>
      <c r="D16" s="110">
        <v>34</v>
      </c>
      <c r="E16" s="104" t="s">
        <v>111</v>
      </c>
      <c r="F16" s="110">
        <v>39</v>
      </c>
      <c r="G16" s="104"/>
      <c r="H16" s="110">
        <v>41</v>
      </c>
      <c r="I16" s="104" t="s">
        <v>114</v>
      </c>
      <c r="J16" s="120">
        <f>+H16-D16</f>
        <v>7</v>
      </c>
      <c r="K16" s="142">
        <f>+J16/D16*100</f>
        <v>20.588235294117645</v>
      </c>
    </row>
    <row r="17" spans="1:11" ht="12.75">
      <c r="A17" s="73" t="s">
        <v>97</v>
      </c>
      <c r="B17" s="91">
        <v>683</v>
      </c>
      <c r="C17" s="149"/>
      <c r="D17" s="91">
        <v>737</v>
      </c>
      <c r="E17" s="24"/>
      <c r="F17" s="91">
        <f>ROUND($D$17/$D$16*F16,0)</f>
        <v>845</v>
      </c>
      <c r="G17" s="24"/>
      <c r="H17" s="91">
        <f>ROUND($D$17/$D$16*H16,0)</f>
        <v>889</v>
      </c>
      <c r="I17" s="24"/>
      <c r="J17" s="120">
        <f>+H17-D17</f>
        <v>152</v>
      </c>
      <c r="K17" s="142">
        <f>+J17/D17*100</f>
        <v>20.62415196743555</v>
      </c>
    </row>
    <row r="18" spans="1:11" ht="12.75">
      <c r="A18" s="73" t="s">
        <v>133</v>
      </c>
      <c r="B18" s="91">
        <v>34</v>
      </c>
      <c r="C18" s="149"/>
      <c r="D18" s="91">
        <f>ROUND(B18/B17*D17,0)</f>
        <v>37</v>
      </c>
      <c r="E18" s="24"/>
      <c r="F18" s="91">
        <v>45</v>
      </c>
      <c r="G18" s="24"/>
      <c r="H18" s="91">
        <f>ROUND(B18/B17*H17,0)</f>
        <v>44</v>
      </c>
      <c r="I18" s="24"/>
      <c r="J18" s="120">
        <f>+H18-D18</f>
        <v>7</v>
      </c>
      <c r="K18" s="142">
        <f>+J18/D18*100</f>
        <v>18.91891891891892</v>
      </c>
    </row>
    <row r="19" spans="1:11" ht="12.75">
      <c r="A19" s="73" t="s">
        <v>98</v>
      </c>
      <c r="B19" s="146">
        <f>+B17/B$7*100</f>
        <v>9.221007155393547</v>
      </c>
      <c r="C19" s="147"/>
      <c r="D19" s="146">
        <f>+D17/D$7*100</f>
        <v>9.90990990990991</v>
      </c>
      <c r="E19" s="111"/>
      <c r="F19" s="146">
        <f>+F17/F$7*100</f>
        <v>11.187607573149743</v>
      </c>
      <c r="G19" s="111"/>
      <c r="H19" s="146">
        <f>+H17/H$7*100</f>
        <v>11.770157553290083</v>
      </c>
      <c r="I19" s="147"/>
      <c r="J19" s="148">
        <f>+H19-D19</f>
        <v>1.8602476433801733</v>
      </c>
      <c r="K19" s="122" t="s">
        <v>85</v>
      </c>
    </row>
    <row r="20" spans="1:11" ht="4.5" customHeight="1">
      <c r="A20" s="73"/>
      <c r="B20" s="110"/>
      <c r="C20" s="111"/>
      <c r="D20" s="110"/>
      <c r="E20" s="111"/>
      <c r="F20" s="110"/>
      <c r="G20" s="111"/>
      <c r="H20" s="106"/>
      <c r="I20" s="107"/>
      <c r="J20" s="107"/>
      <c r="K20" s="107"/>
    </row>
    <row r="21" spans="1:11" ht="12.75">
      <c r="A21" s="56" t="s">
        <v>100</v>
      </c>
      <c r="B21" s="164"/>
      <c r="C21" s="111"/>
      <c r="D21" s="164"/>
      <c r="E21" s="111"/>
      <c r="F21" s="110"/>
      <c r="G21" s="111"/>
      <c r="H21" s="106"/>
      <c r="I21" s="107"/>
      <c r="J21" s="107"/>
      <c r="K21" s="107"/>
    </row>
    <row r="22" spans="1:11" ht="12.75">
      <c r="A22" s="73" t="s">
        <v>95</v>
      </c>
      <c r="B22" s="110">
        <v>57</v>
      </c>
      <c r="C22" s="111"/>
      <c r="D22" s="110">
        <v>60</v>
      </c>
      <c r="E22" s="104" t="s">
        <v>112</v>
      </c>
      <c r="F22" s="110">
        <v>62</v>
      </c>
      <c r="G22" s="104"/>
      <c r="H22" s="110">
        <v>62</v>
      </c>
      <c r="I22" s="104" t="s">
        <v>115</v>
      </c>
      <c r="J22" s="120">
        <f>+H22-D22</f>
        <v>2</v>
      </c>
      <c r="K22" s="142">
        <f>+J22/D22*100</f>
        <v>3.3333333333333335</v>
      </c>
    </row>
    <row r="23" spans="1:12" ht="12.75">
      <c r="A23" s="73" t="s">
        <v>97</v>
      </c>
      <c r="B23" s="91">
        <v>1442</v>
      </c>
      <c r="C23" s="111"/>
      <c r="D23" s="91">
        <v>1427</v>
      </c>
      <c r="E23" s="24"/>
      <c r="F23" s="91">
        <f>ROUND($D$23/$D$22*F22,0)</f>
        <v>1475</v>
      </c>
      <c r="G23" s="24"/>
      <c r="H23" s="91">
        <f>ROUND($D$23/$D$22*H22,0)</f>
        <v>1475</v>
      </c>
      <c r="I23" s="24"/>
      <c r="J23" s="120">
        <f>+H23-D23</f>
        <v>48</v>
      </c>
      <c r="K23" s="142">
        <f>+J23/D23*100</f>
        <v>3.363700070077085</v>
      </c>
      <c r="L23" s="163" t="s">
        <v>138</v>
      </c>
    </row>
    <row r="24" spans="1:12" ht="12.75">
      <c r="A24" s="73" t="s">
        <v>133</v>
      </c>
      <c r="B24" s="91">
        <v>207</v>
      </c>
      <c r="C24" s="111"/>
      <c r="D24" s="91">
        <f>ROUND(B24/B23*D23,0)</f>
        <v>205</v>
      </c>
      <c r="E24" s="24"/>
      <c r="F24" s="91">
        <v>212</v>
      </c>
      <c r="G24" s="24"/>
      <c r="H24" s="91">
        <f>ROUND(B24/B23*H23,0)</f>
        <v>212</v>
      </c>
      <c r="I24" s="24"/>
      <c r="J24" s="120">
        <f>+H24-D24</f>
        <v>7</v>
      </c>
      <c r="K24" s="142">
        <f>+J24/D24*100</f>
        <v>3.414634146341464</v>
      </c>
      <c r="L24" s="163" t="s">
        <v>135</v>
      </c>
    </row>
    <row r="25" spans="1:11" ht="12.75">
      <c r="A25" s="73" t="s">
        <v>98</v>
      </c>
      <c r="B25" s="146">
        <f>+B23/B$7*100</f>
        <v>19.468070743890912</v>
      </c>
      <c r="C25" s="147"/>
      <c r="D25" s="146">
        <f>+D23/D$7*100</f>
        <v>19.18784456097889</v>
      </c>
      <c r="E25" s="111"/>
      <c r="F25" s="146">
        <f>+F23/F$7*100</f>
        <v>19.52866410697736</v>
      </c>
      <c r="G25" s="111"/>
      <c r="H25" s="146">
        <f>+H23/H$7*100</f>
        <v>19.52866410697736</v>
      </c>
      <c r="I25" s="147"/>
      <c r="J25" s="148">
        <f>+H25-D25</f>
        <v>0.3408195459984711</v>
      </c>
      <c r="K25" s="122" t="s">
        <v>85</v>
      </c>
    </row>
    <row r="26" spans="1:11" ht="5.25" customHeight="1">
      <c r="A26" s="73"/>
      <c r="B26" s="110"/>
      <c r="C26" s="111"/>
      <c r="D26" s="110"/>
      <c r="E26" s="111"/>
      <c r="F26" s="110"/>
      <c r="G26" s="111"/>
      <c r="H26" s="106"/>
      <c r="I26" s="107"/>
      <c r="J26" s="107"/>
      <c r="K26" s="107"/>
    </row>
    <row r="27" spans="1:11" ht="12.75">
      <c r="A27" s="157" t="s">
        <v>102</v>
      </c>
      <c r="B27" s="110"/>
      <c r="C27" s="111"/>
      <c r="D27" s="110"/>
      <c r="E27" s="111"/>
      <c r="F27" s="110"/>
      <c r="G27" s="111"/>
      <c r="H27" s="106"/>
      <c r="I27" s="107"/>
      <c r="J27" s="107"/>
      <c r="K27" s="107"/>
    </row>
    <row r="28" spans="1:11" ht="12.75">
      <c r="A28" s="73" t="s">
        <v>95</v>
      </c>
      <c r="B28" s="110">
        <f>+B22+B16+B10</f>
        <v>298</v>
      </c>
      <c r="C28" s="111"/>
      <c r="D28" s="110">
        <f>+D22+D16+D10</f>
        <v>306</v>
      </c>
      <c r="E28" s="104"/>
      <c r="F28" s="110">
        <f>+F22+F16+F10</f>
        <v>315</v>
      </c>
      <c r="G28" s="104"/>
      <c r="H28" s="110">
        <f>+H22+H16+H10</f>
        <v>313</v>
      </c>
      <c r="I28" s="111"/>
      <c r="J28" s="120">
        <f>+H28-D28</f>
        <v>7</v>
      </c>
      <c r="K28" s="142">
        <f>+J28/D28*100</f>
        <v>2.287581699346405</v>
      </c>
    </row>
    <row r="29" spans="1:11" ht="12.75">
      <c r="A29" s="73" t="s">
        <v>97</v>
      </c>
      <c r="B29" s="110">
        <f>+B23+B17+B11</f>
        <v>7300</v>
      </c>
      <c r="C29" s="111"/>
      <c r="D29" s="110">
        <f>+D23+D17+D11</f>
        <v>7332</v>
      </c>
      <c r="E29" s="24"/>
      <c r="F29" s="110">
        <f>+F23+F17+F11</f>
        <v>7537</v>
      </c>
      <c r="G29" s="24"/>
      <c r="H29" s="110">
        <f>+H23+H17+H11</f>
        <v>7483</v>
      </c>
      <c r="I29" s="24"/>
      <c r="J29" s="120">
        <f>+H29-D29</f>
        <v>151</v>
      </c>
      <c r="K29" s="142">
        <f>+J29/D29*100</f>
        <v>2.059465357337698</v>
      </c>
    </row>
    <row r="30" spans="1:11" ht="12.75">
      <c r="A30" s="73" t="s">
        <v>133</v>
      </c>
      <c r="B30" s="110">
        <f>+B24+B18+B12</f>
        <v>340</v>
      </c>
      <c r="C30" s="111"/>
      <c r="D30" s="110">
        <f>+D24+D18+D12</f>
        <v>341</v>
      </c>
      <c r="E30" s="24"/>
      <c r="F30" s="110">
        <f>+F24+F18+F12</f>
        <v>357</v>
      </c>
      <c r="G30" s="24"/>
      <c r="H30" s="110">
        <f>+H24+H18+H12</f>
        <v>354</v>
      </c>
      <c r="I30" s="24"/>
      <c r="J30" s="120">
        <f>+H30-D30</f>
        <v>13</v>
      </c>
      <c r="K30" s="142">
        <f>+J30/D30*100</f>
        <v>3.812316715542522</v>
      </c>
    </row>
    <row r="31" spans="1:11" ht="12.75">
      <c r="A31" s="73" t="s">
        <v>98</v>
      </c>
      <c r="B31" s="146">
        <f>+B29/B$7*100</f>
        <v>98.55542054813014</v>
      </c>
      <c r="C31" s="147"/>
      <c r="D31" s="146">
        <f>+D29/D$7*100</f>
        <v>98.58814037918515</v>
      </c>
      <c r="E31" s="111"/>
      <c r="F31" s="146">
        <f>+F29/F$7*100</f>
        <v>99.78816364358532</v>
      </c>
      <c r="G31" s="111"/>
      <c r="H31" s="146">
        <f>+H29/H$7*100</f>
        <v>99.07321594068583</v>
      </c>
      <c r="I31" s="147"/>
      <c r="J31" s="148">
        <f>+H31-D31</f>
        <v>0.485075561500679</v>
      </c>
      <c r="K31" s="122" t="s">
        <v>85</v>
      </c>
    </row>
    <row r="32" spans="1:11" ht="6" customHeight="1">
      <c r="A32" s="73"/>
      <c r="B32" s="110"/>
      <c r="C32" s="111"/>
      <c r="D32" s="110"/>
      <c r="E32" s="111"/>
      <c r="F32" s="110"/>
      <c r="G32" s="111"/>
      <c r="H32" s="106"/>
      <c r="I32" s="107"/>
      <c r="J32" s="107"/>
      <c r="K32" s="107"/>
    </row>
    <row r="33" spans="1:11" ht="12.75">
      <c r="A33" s="73" t="s">
        <v>101</v>
      </c>
      <c r="B33" s="110"/>
      <c r="C33" s="111"/>
      <c r="D33" s="110"/>
      <c r="E33" s="111"/>
      <c r="F33" s="110"/>
      <c r="G33" s="111"/>
      <c r="H33" s="106"/>
      <c r="I33" s="107"/>
      <c r="J33" s="107"/>
      <c r="K33" s="107"/>
    </row>
    <row r="34" spans="1:11" ht="12.75">
      <c r="A34" s="73" t="s">
        <v>95</v>
      </c>
      <c r="B34" s="110">
        <v>14</v>
      </c>
      <c r="C34" s="111"/>
      <c r="D34" s="110">
        <v>15</v>
      </c>
      <c r="E34" s="149"/>
      <c r="F34" s="110">
        <v>15</v>
      </c>
      <c r="G34" s="149"/>
      <c r="H34" s="110">
        <v>15</v>
      </c>
      <c r="I34" s="111"/>
      <c r="J34" s="120">
        <f>+H34-D34</f>
        <v>0</v>
      </c>
      <c r="K34" s="142">
        <f>+J34/D34*100</f>
        <v>0</v>
      </c>
    </row>
    <row r="35" spans="1:11" ht="12.75">
      <c r="A35" s="73" t="s">
        <v>97</v>
      </c>
      <c r="B35" s="91">
        <v>354</v>
      </c>
      <c r="C35" s="111"/>
      <c r="D35" s="91">
        <v>303</v>
      </c>
      <c r="E35" s="24"/>
      <c r="F35" s="91">
        <v>303</v>
      </c>
      <c r="G35" s="24"/>
      <c r="H35" s="91">
        <v>303</v>
      </c>
      <c r="I35" s="24"/>
      <c r="J35" s="120">
        <f>+H35-D35</f>
        <v>0</v>
      </c>
      <c r="K35" s="142">
        <f>+J35/D35*100</f>
        <v>0</v>
      </c>
    </row>
    <row r="36" spans="1:11" ht="12.75">
      <c r="A36" s="150" t="s">
        <v>98</v>
      </c>
      <c r="B36" s="151">
        <f>+B35/B$7*100</f>
        <v>4.77926285945727</v>
      </c>
      <c r="C36" s="152"/>
      <c r="D36" s="151">
        <f>+D35/D$7*100</f>
        <v>4.074223477208552</v>
      </c>
      <c r="E36" s="153"/>
      <c r="F36" s="151">
        <f>+F35/F$7*100</f>
        <v>4.011650999602807</v>
      </c>
      <c r="G36" s="153"/>
      <c r="H36" s="151">
        <f>+H35/H$7*100</f>
        <v>4.011650999602807</v>
      </c>
      <c r="I36" s="152"/>
      <c r="J36" s="158">
        <f>+H36-D36</f>
        <v>-0.06257247760574458</v>
      </c>
      <c r="K36" s="159" t="s">
        <v>85</v>
      </c>
    </row>
    <row r="37" spans="1:11" ht="6" customHeight="1" hidden="1">
      <c r="A37" s="56"/>
      <c r="B37" s="110"/>
      <c r="C37" s="111"/>
      <c r="D37" s="110"/>
      <c r="E37" s="111"/>
      <c r="F37" s="110"/>
      <c r="G37" s="110"/>
      <c r="H37" s="108"/>
      <c r="I37" s="107"/>
      <c r="J37" s="107"/>
      <c r="K37" s="107"/>
    </row>
    <row r="38" spans="1:11" ht="12.75" hidden="1">
      <c r="A38" s="56" t="s">
        <v>53</v>
      </c>
      <c r="B38" s="110"/>
      <c r="C38" s="111"/>
      <c r="D38" s="110"/>
      <c r="E38" s="111"/>
      <c r="F38" s="110"/>
      <c r="G38" s="110"/>
      <c r="H38" s="112"/>
      <c r="I38" s="111"/>
      <c r="J38" s="107"/>
      <c r="K38" s="107"/>
    </row>
    <row r="39" spans="1:11" ht="12.75" hidden="1">
      <c r="A39" s="73" t="s">
        <v>95</v>
      </c>
      <c r="B39" s="110">
        <f>+B34+B22+B16+B10</f>
        <v>312</v>
      </c>
      <c r="C39" s="111"/>
      <c r="D39" s="110">
        <f>+D34+D22+D16+D10</f>
        <v>321</v>
      </c>
      <c r="E39" s="111"/>
      <c r="F39" s="110"/>
      <c r="G39" s="110"/>
      <c r="H39" s="112">
        <f>+H34+H22+H16+H10</f>
        <v>328</v>
      </c>
      <c r="I39" s="111"/>
      <c r="J39" s="120">
        <f>+H39-D39</f>
        <v>7</v>
      </c>
      <c r="K39" s="147">
        <f>+J39/D39*100</f>
        <v>2.1806853582554515</v>
      </c>
    </row>
    <row r="40" spans="1:11" ht="12.75" hidden="1">
      <c r="A40" s="73" t="s">
        <v>97</v>
      </c>
      <c r="B40" s="110">
        <f>+B35+B23+B17+B11</f>
        <v>7654</v>
      </c>
      <c r="C40" s="111"/>
      <c r="D40" s="110">
        <f>+D35+D23+D17+D11</f>
        <v>7635</v>
      </c>
      <c r="E40" s="111"/>
      <c r="F40" s="110"/>
      <c r="G40" s="110"/>
      <c r="H40" s="112">
        <f>+H35+H23+H17+H11</f>
        <v>7786</v>
      </c>
      <c r="I40" s="111"/>
      <c r="J40" s="120">
        <f>+H40-D40</f>
        <v>151</v>
      </c>
      <c r="K40" s="147">
        <f>+J40/D40*100</f>
        <v>1.9777341191879503</v>
      </c>
    </row>
    <row r="41" spans="1:11" ht="12.75" hidden="1">
      <c r="A41" s="150" t="s">
        <v>98</v>
      </c>
      <c r="B41" s="151">
        <f>+B36+B25+B19+B13</f>
        <v>103.33468340758742</v>
      </c>
      <c r="C41" s="152"/>
      <c r="D41" s="151">
        <f>+D36+D25+D19+D13</f>
        <v>102.66236385639371</v>
      </c>
      <c r="E41" s="153"/>
      <c r="F41" s="167"/>
      <c r="G41" s="167"/>
      <c r="H41" s="154">
        <f>+H36+H25+H19+H13</f>
        <v>103.08486694028863</v>
      </c>
      <c r="I41" s="152"/>
      <c r="J41" s="152">
        <f>+H41-D41</f>
        <v>0.42250308389492375</v>
      </c>
      <c r="K41" s="84" t="s">
        <v>85</v>
      </c>
    </row>
    <row r="42" spans="1:11" ht="5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2.75">
      <c r="A43" s="106" t="s">
        <v>126</v>
      </c>
      <c r="B43" s="31"/>
      <c r="C43" s="31"/>
      <c r="D43" s="31"/>
      <c r="E43" s="31"/>
      <c r="F43" s="31"/>
      <c r="G43" s="31"/>
      <c r="H43" s="173"/>
      <c r="I43" s="31"/>
      <c r="J43" s="173"/>
      <c r="K43" s="31"/>
    </row>
    <row r="44" ht="4.5" customHeight="1">
      <c r="A44" s="155"/>
    </row>
    <row r="45" ht="12.75">
      <c r="A45" s="32" t="s">
        <v>127</v>
      </c>
    </row>
    <row r="46" ht="12.75">
      <c r="A46" s="31" t="s">
        <v>110</v>
      </c>
    </row>
    <row r="47" ht="6" customHeight="1"/>
    <row r="48" ht="12.75">
      <c r="A48" s="32" t="s">
        <v>128</v>
      </c>
    </row>
    <row r="49" ht="4.5" customHeight="1">
      <c r="A49" s="31"/>
    </row>
    <row r="50" ht="12.75">
      <c r="A50" s="32" t="s">
        <v>129</v>
      </c>
    </row>
    <row r="51" ht="5.25" customHeight="1">
      <c r="A51" s="32"/>
    </row>
    <row r="52" ht="12.75">
      <c r="A52" s="32" t="s">
        <v>217</v>
      </c>
    </row>
    <row r="53" ht="5.25" customHeight="1">
      <c r="A53" s="31"/>
    </row>
    <row r="54" ht="12.75">
      <c r="A54" s="32" t="s">
        <v>214</v>
      </c>
    </row>
    <row r="55" ht="12.75">
      <c r="A55" s="31" t="s">
        <v>216</v>
      </c>
    </row>
    <row r="56" spans="1:14" ht="12.75">
      <c r="A56" s="31" t="s">
        <v>222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80"/>
      <c r="M56" s="180"/>
      <c r="N56" s="180"/>
    </row>
    <row r="57" spans="1:14" ht="12.75">
      <c r="A57" s="31" t="s">
        <v>223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80"/>
      <c r="M57" s="180"/>
      <c r="N57" s="180"/>
    </row>
    <row r="58" ht="6" customHeight="1">
      <c r="A58" s="172"/>
    </row>
    <row r="59" ht="12.75">
      <c r="A59" s="31" t="s">
        <v>227</v>
      </c>
    </row>
    <row r="60" spans="1:16" ht="6" customHeight="1">
      <c r="A60" s="32"/>
      <c r="P60" s="50"/>
    </row>
    <row r="61" spans="1:16" ht="15">
      <c r="A61" s="32" t="s">
        <v>153</v>
      </c>
      <c r="P61" s="178">
        <v>15</v>
      </c>
    </row>
    <row r="62" ht="12.75">
      <c r="A62" s="31"/>
    </row>
    <row r="63" ht="12.75">
      <c r="A63" s="31"/>
    </row>
    <row r="64" ht="12.75">
      <c r="A64" s="31"/>
    </row>
  </sheetData>
  <mergeCells count="4">
    <mergeCell ref="F4:G4"/>
    <mergeCell ref="F5:G5"/>
    <mergeCell ref="H5:I5"/>
    <mergeCell ref="H4:I4"/>
  </mergeCells>
  <printOptions/>
  <pageMargins left="0.3" right="0.21" top="0.28" bottom="0.25" header="0.17" footer="0.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9"/>
  <sheetViews>
    <sheetView workbookViewId="0" topLeftCell="A19">
      <selection activeCell="A1" sqref="A1"/>
    </sheetView>
  </sheetViews>
  <sheetFormatPr defaultColWidth="9.140625" defaultRowHeight="12.75"/>
  <cols>
    <col min="1" max="1" width="39.421875" style="0" customWidth="1"/>
    <col min="2" max="2" width="1.421875" style="0" customWidth="1"/>
    <col min="3" max="4" width="7.140625" style="0" customWidth="1"/>
    <col min="5" max="5" width="1.7109375" style="0" customWidth="1"/>
    <col min="6" max="6" width="6.8515625" style="0" customWidth="1"/>
    <col min="7" max="7" width="6.57421875" style="0" customWidth="1"/>
    <col min="8" max="8" width="2.00390625" style="0" customWidth="1"/>
    <col min="9" max="10" width="6.57421875" style="0" customWidth="1"/>
    <col min="11" max="11" width="2.00390625" style="0" customWidth="1"/>
    <col min="12" max="12" width="6.57421875" style="0" customWidth="1"/>
    <col min="13" max="13" width="7.421875" style="0" customWidth="1"/>
    <col min="14" max="14" width="3.140625" style="25" customWidth="1"/>
    <col min="15" max="15" width="11.00390625" style="0" customWidth="1"/>
    <col min="17" max="17" width="10.421875" style="0" customWidth="1"/>
    <col min="18" max="18" width="8.421875" style="0" customWidth="1"/>
    <col min="22" max="22" width="1.7109375" style="0" customWidth="1"/>
  </cols>
  <sheetData>
    <row r="1" spans="1:7" ht="15">
      <c r="A1" s="1" t="s">
        <v>224</v>
      </c>
      <c r="B1" s="1"/>
      <c r="C1" s="1"/>
      <c r="D1" s="1"/>
      <c r="E1" s="1"/>
      <c r="F1" s="1"/>
      <c r="G1" s="1"/>
    </row>
    <row r="2" spans="1:54" ht="12.75">
      <c r="A2" s="2" t="s">
        <v>177</v>
      </c>
      <c r="L2" s="47" t="s">
        <v>194</v>
      </c>
      <c r="BB2">
        <f>6+14+2+4+6+16+10+14+6</f>
        <v>78</v>
      </c>
    </row>
    <row r="3" ht="6" customHeight="1">
      <c r="A3" s="4"/>
    </row>
    <row r="4" spans="1:53" ht="12.75">
      <c r="A4" s="5"/>
      <c r="C4" s="6" t="s">
        <v>0</v>
      </c>
      <c r="D4" s="7"/>
      <c r="F4" s="6" t="s">
        <v>159</v>
      </c>
      <c r="G4" s="7"/>
      <c r="I4" s="6" t="s">
        <v>156</v>
      </c>
      <c r="J4" s="7"/>
      <c r="L4" s="6" t="s">
        <v>2</v>
      </c>
      <c r="M4" s="7"/>
      <c r="AZ4" s="8" t="s">
        <v>1</v>
      </c>
      <c r="BA4" s="9"/>
    </row>
    <row r="5" spans="1:53" ht="12.75">
      <c r="A5" s="5"/>
      <c r="C5" s="10" t="s">
        <v>3</v>
      </c>
      <c r="D5" s="11"/>
      <c r="F5" s="10" t="s">
        <v>166</v>
      </c>
      <c r="G5" s="11"/>
      <c r="I5" s="10">
        <v>2002</v>
      </c>
      <c r="J5" s="11"/>
      <c r="L5" s="10">
        <v>2002</v>
      </c>
      <c r="M5" s="11"/>
      <c r="AZ5" s="12" t="s">
        <v>4</v>
      </c>
      <c r="BA5" s="13"/>
    </row>
    <row r="6" spans="1:53" ht="12.75">
      <c r="A6" s="14" t="s">
        <v>5</v>
      </c>
      <c r="C6" s="15"/>
      <c r="D6" s="16"/>
      <c r="F6" s="15"/>
      <c r="G6" s="16"/>
      <c r="I6" s="15"/>
      <c r="J6" s="16"/>
      <c r="L6" s="17"/>
      <c r="M6" s="18"/>
      <c r="AZ6" s="15"/>
      <c r="BA6" s="20"/>
    </row>
    <row r="7" spans="1:53" ht="12.75">
      <c r="A7" s="21" t="s">
        <v>6</v>
      </c>
      <c r="C7" s="22">
        <f>SUM(D8:D10)</f>
        <v>1845</v>
      </c>
      <c r="D7" s="23"/>
      <c r="F7" s="22">
        <f>SUM(G8:G10)</f>
        <v>1638</v>
      </c>
      <c r="G7" s="23"/>
      <c r="I7" s="22">
        <f>SUM(J8:J10)</f>
        <v>1225</v>
      </c>
      <c r="J7" s="23"/>
      <c r="L7" s="22">
        <f>SUM(M8:M10)</f>
        <v>1204</v>
      </c>
      <c r="M7" s="24"/>
      <c r="N7" s="29" t="s">
        <v>182</v>
      </c>
      <c r="AZ7" s="22" t="e">
        <f>SUM(BA8:BA10)</f>
        <v>#REF!</v>
      </c>
      <c r="BA7" s="26"/>
    </row>
    <row r="8" spans="1:53" ht="12.75">
      <c r="A8" s="27" t="s">
        <v>7</v>
      </c>
      <c r="C8" s="28"/>
      <c r="D8" s="23">
        <v>480</v>
      </c>
      <c r="F8" s="28"/>
      <c r="G8" s="23">
        <v>545</v>
      </c>
      <c r="I8" s="28"/>
      <c r="J8" s="23">
        <v>611</v>
      </c>
      <c r="L8" s="28"/>
      <c r="M8" s="23">
        <v>593</v>
      </c>
      <c r="N8" s="25" t="s">
        <v>186</v>
      </c>
      <c r="O8" s="3"/>
      <c r="AZ8" s="28"/>
      <c r="BA8" s="23" t="e">
        <f>+#REF!+#REF!+#REF!+#REF!+#REF!+#REF!+#REF!+#REF!+#REF!</f>
        <v>#REF!</v>
      </c>
    </row>
    <row r="9" spans="1:53" ht="12.75">
      <c r="A9" s="27" t="s">
        <v>8</v>
      </c>
      <c r="C9" s="28"/>
      <c r="D9" s="23">
        <v>944</v>
      </c>
      <c r="F9" s="28"/>
      <c r="G9" s="23">
        <v>764</v>
      </c>
      <c r="I9" s="28"/>
      <c r="J9" s="23">
        <v>396</v>
      </c>
      <c r="L9" s="28"/>
      <c r="M9" s="23">
        <v>395</v>
      </c>
      <c r="N9" s="25" t="s">
        <v>191</v>
      </c>
      <c r="AZ9" s="28"/>
      <c r="BA9" s="23" t="e">
        <f>+#REF!+#REF!+#REF!+#REF!+#REF!+#REF!+#REF!+#REF!+#REF!</f>
        <v>#REF!</v>
      </c>
    </row>
    <row r="10" spans="1:53" ht="12.75">
      <c r="A10" s="27" t="s">
        <v>9</v>
      </c>
      <c r="C10" s="28"/>
      <c r="D10" s="23">
        <v>421</v>
      </c>
      <c r="F10" s="28"/>
      <c r="G10" s="23">
        <v>329</v>
      </c>
      <c r="I10" s="28"/>
      <c r="J10" s="23">
        <v>218</v>
      </c>
      <c r="L10" s="28"/>
      <c r="M10" s="23">
        <v>216</v>
      </c>
      <c r="N10" s="25" t="s">
        <v>178</v>
      </c>
      <c r="AZ10" s="28"/>
      <c r="BA10" s="23" t="e">
        <f>+#REF!+#REF!+#REF!+#REF!+#REF!+#REF!+#REF!+#REF!+#REF!</f>
        <v>#REF!</v>
      </c>
    </row>
    <row r="11" spans="1:53" ht="3.75" customHeight="1">
      <c r="A11" s="27"/>
      <c r="C11" s="28"/>
      <c r="D11" s="23"/>
      <c r="F11" s="28"/>
      <c r="G11" s="23"/>
      <c r="I11" s="28"/>
      <c r="J11" s="23"/>
      <c r="L11" s="28"/>
      <c r="M11" s="23"/>
      <c r="AZ11" s="28"/>
      <c r="BA11" s="23"/>
    </row>
    <row r="12" spans="1:53" ht="12.75">
      <c r="A12" s="30" t="s">
        <v>10</v>
      </c>
      <c r="C12" s="22">
        <f>SUM(D13:D21)</f>
        <v>18931</v>
      </c>
      <c r="D12" s="26"/>
      <c r="E12" s="168"/>
      <c r="F12" s="22">
        <f>SUM(G13:G21)</f>
        <v>19925</v>
      </c>
      <c r="G12" s="26"/>
      <c r="H12" s="25"/>
      <c r="I12" s="22">
        <f>SUM(J13:J21)</f>
        <v>20643</v>
      </c>
      <c r="J12" s="26"/>
      <c r="K12" s="25"/>
      <c r="L12" s="22">
        <f>SUM(M13:M21)</f>
        <v>20314</v>
      </c>
      <c r="M12" s="26"/>
      <c r="AZ12" s="22" t="e">
        <f>SUM(BA13:BA21)</f>
        <v>#REF!</v>
      </c>
      <c r="BA12" s="26"/>
    </row>
    <row r="13" spans="1:53" ht="12.75">
      <c r="A13" s="27" t="s">
        <v>11</v>
      </c>
      <c r="C13" s="28"/>
      <c r="D13" s="23">
        <v>6063</v>
      </c>
      <c r="E13" s="25"/>
      <c r="F13" s="22"/>
      <c r="G13" s="23">
        <v>6130</v>
      </c>
      <c r="H13" s="29"/>
      <c r="I13" s="22"/>
      <c r="J13" s="23">
        <v>6107</v>
      </c>
      <c r="K13" s="29"/>
      <c r="L13" s="28"/>
      <c r="M13" s="23">
        <v>6048</v>
      </c>
      <c r="N13" s="25" t="s">
        <v>218</v>
      </c>
      <c r="O13" s="3"/>
      <c r="AZ13" s="28"/>
      <c r="BA13" s="23" t="e">
        <f>+#REF!+#REF!+#REF!+#REF!+#REF!+#REF!+#REF!+#REF!+#REF!</f>
        <v>#REF!</v>
      </c>
    </row>
    <row r="14" spans="1:53" ht="12.75">
      <c r="A14" s="27" t="s">
        <v>12</v>
      </c>
      <c r="C14" s="28"/>
      <c r="D14" s="23">
        <v>3036</v>
      </c>
      <c r="E14" s="25"/>
      <c r="F14" s="28"/>
      <c r="G14" s="23">
        <v>3070</v>
      </c>
      <c r="H14" s="25"/>
      <c r="I14" s="28"/>
      <c r="J14" s="23">
        <v>3139</v>
      </c>
      <c r="K14" s="25"/>
      <c r="L14" s="28"/>
      <c r="M14" s="23">
        <v>3081</v>
      </c>
      <c r="O14" s="3"/>
      <c r="AZ14" s="28"/>
      <c r="BA14" s="23" t="e">
        <f>+#REF!+#REF!+#REF!+#REF!+#REF!+#REF!+#REF!+#REF!+#REF!</f>
        <v>#REF!</v>
      </c>
    </row>
    <row r="15" spans="1:53" ht="12.75">
      <c r="A15" s="27" t="s">
        <v>13</v>
      </c>
      <c r="C15" s="28"/>
      <c r="D15" s="23">
        <v>5824</v>
      </c>
      <c r="E15" s="25"/>
      <c r="F15" s="28"/>
      <c r="G15" s="23">
        <v>6346</v>
      </c>
      <c r="H15" s="25"/>
      <c r="I15" s="28"/>
      <c r="J15" s="23">
        <v>6715</v>
      </c>
      <c r="K15" s="25"/>
      <c r="L15" s="28"/>
      <c r="M15" s="23">
        <v>6566</v>
      </c>
      <c r="AZ15" s="28"/>
      <c r="BA15" s="23" t="e">
        <f>+#REF!+#REF!+#REF!+#REF!+#REF!+#REF!+#REF!+#REF!+#REF!</f>
        <v>#REF!</v>
      </c>
    </row>
    <row r="16" spans="1:53" ht="12.75">
      <c r="A16" s="27" t="s">
        <v>14</v>
      </c>
      <c r="B16" s="31"/>
      <c r="C16" s="28"/>
      <c r="D16" s="23">
        <v>1522</v>
      </c>
      <c r="E16" s="25"/>
      <c r="F16" s="28"/>
      <c r="G16" s="23">
        <v>1699</v>
      </c>
      <c r="H16" s="25"/>
      <c r="I16" s="28"/>
      <c r="J16" s="23">
        <v>1833</v>
      </c>
      <c r="K16" s="25"/>
      <c r="L16" s="28"/>
      <c r="M16" s="23">
        <v>1808</v>
      </c>
      <c r="AZ16" s="28"/>
      <c r="BA16" s="23" t="e">
        <f>+#REF!+#REF!+#REF!+#REF!+#REF!+#REF!+#REF!+#REF!+#REF!</f>
        <v>#REF!</v>
      </c>
    </row>
    <row r="17" spans="1:53" ht="12.75">
      <c r="A17" s="27" t="s">
        <v>15</v>
      </c>
      <c r="C17" s="28"/>
      <c r="D17" s="23">
        <v>141</v>
      </c>
      <c r="E17" s="25"/>
      <c r="F17" s="28"/>
      <c r="G17" s="23">
        <v>161</v>
      </c>
      <c r="H17" s="25"/>
      <c r="I17" s="28"/>
      <c r="J17" s="23">
        <v>155</v>
      </c>
      <c r="K17" s="25"/>
      <c r="L17" s="28"/>
      <c r="M17" s="23">
        <v>153</v>
      </c>
      <c r="AZ17" s="28"/>
      <c r="BA17" s="23" t="e">
        <f>+#REF!+#REF!+#REF!+#REF!+#REF!+#REF!+#REF!+#REF!+#REF!</f>
        <v>#REF!</v>
      </c>
    </row>
    <row r="18" spans="1:53" ht="12.75">
      <c r="A18" s="27" t="s">
        <v>16</v>
      </c>
      <c r="C18" s="28"/>
      <c r="D18" s="23">
        <v>482</v>
      </c>
      <c r="E18" s="25"/>
      <c r="F18" s="22"/>
      <c r="G18" s="23">
        <v>523</v>
      </c>
      <c r="H18" s="25"/>
      <c r="I18" s="22"/>
      <c r="J18" s="23">
        <v>558</v>
      </c>
      <c r="K18" s="25"/>
      <c r="L18" s="28"/>
      <c r="M18" s="23">
        <v>539</v>
      </c>
      <c r="AZ18" s="28"/>
      <c r="BA18" s="23" t="e">
        <f>+#REF!+#REF!+#REF!+#REF!+#REF!+#REF!+#REF!+#REF!+#REF!</f>
        <v>#REF!</v>
      </c>
    </row>
    <row r="19" spans="1:53" ht="12.75">
      <c r="A19" s="27" t="s">
        <v>17</v>
      </c>
      <c r="C19" s="28"/>
      <c r="D19" s="23">
        <v>141</v>
      </c>
      <c r="E19" s="25"/>
      <c r="F19" s="28"/>
      <c r="G19" s="23">
        <v>160</v>
      </c>
      <c r="H19" s="25"/>
      <c r="I19" s="28"/>
      <c r="J19" s="23">
        <v>168</v>
      </c>
      <c r="K19" s="25"/>
      <c r="L19" s="28"/>
      <c r="M19" s="23">
        <v>168</v>
      </c>
      <c r="O19" s="29"/>
      <c r="AZ19" s="28"/>
      <c r="BA19" s="23" t="e">
        <f>+#REF!+#REF!+#REF!+#REF!+#REF!+#REF!+#REF!+#REF!+#REF!</f>
        <v>#REF!</v>
      </c>
    </row>
    <row r="20" spans="1:53" ht="12.75">
      <c r="A20" s="27" t="s">
        <v>179</v>
      </c>
      <c r="C20" s="28"/>
      <c r="D20" s="23">
        <v>211</v>
      </c>
      <c r="E20" s="25"/>
      <c r="F20" s="28"/>
      <c r="G20" s="23">
        <v>313</v>
      </c>
      <c r="H20" s="25"/>
      <c r="I20" s="28"/>
      <c r="J20" s="23">
        <v>222</v>
      </c>
      <c r="K20" s="25"/>
      <c r="L20" s="28"/>
      <c r="M20" s="23">
        <v>222</v>
      </c>
      <c r="N20" s="29" t="s">
        <v>219</v>
      </c>
      <c r="AZ20" s="28"/>
      <c r="BA20" s="23" t="e">
        <f>+#REF!+#REF!+#REF!+#REF!+#REF!+#REF!+#REF!+#REF!+#REF!</f>
        <v>#REF!</v>
      </c>
    </row>
    <row r="21" spans="1:53" ht="12.75">
      <c r="A21" s="27" t="s">
        <v>18</v>
      </c>
      <c r="C21" s="28"/>
      <c r="D21" s="23">
        <v>1511</v>
      </c>
      <c r="E21" s="25"/>
      <c r="F21" s="28"/>
      <c r="G21" s="23">
        <v>1523</v>
      </c>
      <c r="H21" s="25"/>
      <c r="I21" s="28"/>
      <c r="J21" s="23">
        <v>1746</v>
      </c>
      <c r="K21" s="25"/>
      <c r="L21" s="28"/>
      <c r="M21" s="23">
        <v>1729</v>
      </c>
      <c r="AZ21" s="28"/>
      <c r="BA21" s="23" t="e">
        <f>+#REF!+#REF!+#REF!+#REF!+#REF!+#REF!+#REF!+#REF!+#REF!</f>
        <v>#REF!</v>
      </c>
    </row>
    <row r="22" spans="1:53" ht="12.75" hidden="1">
      <c r="A22" s="27" t="s">
        <v>160</v>
      </c>
      <c r="C22" s="28"/>
      <c r="D22" s="23">
        <v>15.49</v>
      </c>
      <c r="E22" s="25"/>
      <c r="F22" s="28"/>
      <c r="G22" s="23">
        <v>15</v>
      </c>
      <c r="H22" s="25"/>
      <c r="I22" s="28"/>
      <c r="J22" s="23"/>
      <c r="K22" s="25"/>
      <c r="L22" s="28"/>
      <c r="M22" s="23"/>
      <c r="AZ22" s="28"/>
      <c r="BA22" s="23"/>
    </row>
    <row r="23" spans="1:53" ht="12.75" hidden="1">
      <c r="A23" s="27" t="s">
        <v>161</v>
      </c>
      <c r="C23" s="22"/>
      <c r="D23" s="23">
        <v>10.33</v>
      </c>
      <c r="F23" s="22"/>
      <c r="G23" s="23">
        <v>0</v>
      </c>
      <c r="H23" s="25"/>
      <c r="I23" s="22"/>
      <c r="J23" s="23"/>
      <c r="K23" s="25"/>
      <c r="L23" s="22"/>
      <c r="M23" s="23"/>
      <c r="AZ23" s="22"/>
      <c r="BA23" s="26"/>
    </row>
    <row r="24" spans="1:53" ht="12.75" hidden="1">
      <c r="A24" s="169" t="s">
        <v>162</v>
      </c>
      <c r="C24" s="33"/>
      <c r="D24" s="23">
        <v>130.15</v>
      </c>
      <c r="F24" s="33"/>
      <c r="G24" s="23">
        <v>0</v>
      </c>
      <c r="H24" s="25"/>
      <c r="I24" s="33"/>
      <c r="J24" s="23"/>
      <c r="K24" s="25"/>
      <c r="L24" s="33"/>
      <c r="M24" s="23"/>
      <c r="AZ24" s="33"/>
      <c r="BA24" s="24"/>
    </row>
    <row r="25" spans="1:53" ht="12.75" hidden="1">
      <c r="A25" s="27" t="s">
        <v>163</v>
      </c>
      <c r="C25" s="33"/>
      <c r="D25" s="23"/>
      <c r="F25" s="33"/>
      <c r="G25" s="23">
        <v>15</v>
      </c>
      <c r="H25" s="25"/>
      <c r="I25" s="33"/>
      <c r="J25" s="23"/>
      <c r="K25" s="25"/>
      <c r="L25" s="33"/>
      <c r="M25" s="23"/>
      <c r="AZ25" s="33"/>
      <c r="BA25" s="24"/>
    </row>
    <row r="26" spans="1:53" ht="5.25" customHeight="1">
      <c r="A26" s="30"/>
      <c r="C26" s="28"/>
      <c r="D26" s="26"/>
      <c r="E26" s="25"/>
      <c r="F26" s="28"/>
      <c r="G26" s="26"/>
      <c r="H26" s="25"/>
      <c r="I26" s="28"/>
      <c r="J26" s="26"/>
      <c r="K26" s="25"/>
      <c r="L26" s="28"/>
      <c r="M26" s="26"/>
      <c r="AZ26" s="28"/>
      <c r="BA26" s="26"/>
    </row>
    <row r="27" spans="1:53" ht="12.75">
      <c r="A27" s="30" t="s">
        <v>20</v>
      </c>
      <c r="C27" s="22">
        <f>SUM(D28:D34)</f>
        <v>4961</v>
      </c>
      <c r="D27" s="26"/>
      <c r="E27" s="168"/>
      <c r="F27" s="22">
        <f>SUM(G28:G35)</f>
        <v>6156</v>
      </c>
      <c r="G27" s="26"/>
      <c r="H27" s="25"/>
      <c r="I27" s="22">
        <f>SUM(J28:J35)</f>
        <v>6649</v>
      </c>
      <c r="J27" s="26"/>
      <c r="K27" s="25"/>
      <c r="L27" s="22">
        <f>SUM(M28:M34)</f>
        <v>6492</v>
      </c>
      <c r="M27" s="26"/>
      <c r="AZ27" s="22" t="e">
        <f>SUM(BA28:BA34)</f>
        <v>#REF!</v>
      </c>
      <c r="BA27" s="26"/>
    </row>
    <row r="28" spans="1:53" ht="12.75">
      <c r="A28" s="27" t="s">
        <v>21</v>
      </c>
      <c r="B28" s="31"/>
      <c r="C28" s="22"/>
      <c r="D28" s="23">
        <v>386</v>
      </c>
      <c r="E28" s="25"/>
      <c r="F28" s="28"/>
      <c r="G28" s="23">
        <v>435</v>
      </c>
      <c r="H28" s="25"/>
      <c r="I28" s="28"/>
      <c r="J28" s="23">
        <v>434</v>
      </c>
      <c r="K28" s="25"/>
      <c r="L28" s="28"/>
      <c r="M28" s="23">
        <v>434</v>
      </c>
      <c r="N28" s="29"/>
      <c r="O28" s="3"/>
      <c r="AZ28" s="28"/>
      <c r="BA28" s="23" t="e">
        <f>+#REF!+#REF!+#REF!+#REF!+#REF!+#REF!+#REF!+#REF!+#REF!</f>
        <v>#REF!</v>
      </c>
    </row>
    <row r="29" spans="1:53" ht="4.5" customHeight="1">
      <c r="A29" s="27"/>
      <c r="C29" s="28"/>
      <c r="D29" s="23"/>
      <c r="E29" s="25"/>
      <c r="F29" s="28"/>
      <c r="G29" s="23"/>
      <c r="H29" s="25"/>
      <c r="I29" s="28"/>
      <c r="J29" s="23"/>
      <c r="K29" s="25"/>
      <c r="L29" s="28"/>
      <c r="M29" s="23"/>
      <c r="AZ29" s="28"/>
      <c r="BA29" s="23"/>
    </row>
    <row r="30" spans="1:53" ht="12.75">
      <c r="A30" s="27" t="s">
        <v>22</v>
      </c>
      <c r="C30" s="28"/>
      <c r="D30" s="23">
        <v>1049</v>
      </c>
      <c r="E30" s="25"/>
      <c r="F30" s="28"/>
      <c r="G30" s="23">
        <v>1137</v>
      </c>
      <c r="H30" s="25"/>
      <c r="I30" s="28"/>
      <c r="J30" s="23">
        <v>1358</v>
      </c>
      <c r="K30" s="25"/>
      <c r="L30" s="28"/>
      <c r="M30" s="23">
        <v>1234</v>
      </c>
      <c r="N30" s="25" t="s">
        <v>185</v>
      </c>
      <c r="AZ30" s="28"/>
      <c r="BA30" s="23" t="e">
        <f>+#REF!+#REF!+#REF!+#REF!+#REF!+#REF!+#REF!+#REF!+#REF!</f>
        <v>#REF!</v>
      </c>
    </row>
    <row r="31" spans="1:53" ht="12.75">
      <c r="A31" s="27" t="s">
        <v>23</v>
      </c>
      <c r="C31" s="28"/>
      <c r="D31" s="23">
        <v>233</v>
      </c>
      <c r="F31" s="28"/>
      <c r="G31" s="23">
        <v>733</v>
      </c>
      <c r="H31" s="25"/>
      <c r="I31" s="28"/>
      <c r="J31" s="23">
        <f>765-38</f>
        <v>727</v>
      </c>
      <c r="K31" s="25"/>
      <c r="L31" s="28"/>
      <c r="M31" s="23">
        <v>770</v>
      </c>
      <c r="AZ31" s="28"/>
      <c r="BA31" s="23" t="e">
        <f>+#REF!+#REF!+#REF!+#REF!+#REF!+#REF!+#REF!+#REF!+#REF!</f>
        <v>#REF!</v>
      </c>
    </row>
    <row r="32" spans="1:53" ht="12.75">
      <c r="A32" s="27" t="s">
        <v>24</v>
      </c>
      <c r="C32" s="28"/>
      <c r="D32" s="23">
        <v>1053</v>
      </c>
      <c r="E32" s="25"/>
      <c r="F32" s="28"/>
      <c r="G32" s="23">
        <v>1086</v>
      </c>
      <c r="H32" s="25"/>
      <c r="I32" s="28"/>
      <c r="J32" s="23">
        <v>1166</v>
      </c>
      <c r="K32" s="25"/>
      <c r="L32" s="28"/>
      <c r="M32" s="23">
        <v>1164</v>
      </c>
      <c r="AZ32" s="28"/>
      <c r="BA32" s="23" t="e">
        <f>+#REF!+#REF!+#REF!+#REF!+#REF!+#REF!+#REF!+#REF!+#REF!</f>
        <v>#REF!</v>
      </c>
    </row>
    <row r="33" spans="1:53" ht="12.75">
      <c r="A33" s="27" t="s">
        <v>25</v>
      </c>
      <c r="C33" s="28"/>
      <c r="D33" s="23">
        <v>1412</v>
      </c>
      <c r="E33" s="29"/>
      <c r="F33" s="28"/>
      <c r="G33" s="23">
        <v>1801</v>
      </c>
      <c r="H33" s="25"/>
      <c r="I33" s="28"/>
      <c r="J33" s="23">
        <v>2100</v>
      </c>
      <c r="K33" s="25"/>
      <c r="L33" s="28"/>
      <c r="M33" s="23">
        <v>2032</v>
      </c>
      <c r="N33" s="25" t="s">
        <v>180</v>
      </c>
      <c r="AZ33" s="28"/>
      <c r="BA33" s="23" t="e">
        <f>+#REF!+#REF!+#REF!+#REF!+#REF!+#REF!+#REF!+#REF!+#REF!</f>
        <v>#REF!</v>
      </c>
    </row>
    <row r="34" spans="1:53" ht="12.75">
      <c r="A34" s="27" t="s">
        <v>26</v>
      </c>
      <c r="C34" s="28"/>
      <c r="D34" s="23">
        <v>828</v>
      </c>
      <c r="E34" s="25"/>
      <c r="F34" s="28"/>
      <c r="G34" s="23">
        <v>964</v>
      </c>
      <c r="H34" s="25"/>
      <c r="I34" s="28"/>
      <c r="J34" s="23">
        <v>864</v>
      </c>
      <c r="K34" s="25"/>
      <c r="L34" s="28"/>
      <c r="M34" s="23">
        <v>858</v>
      </c>
      <c r="N34" s="25" t="s">
        <v>181</v>
      </c>
      <c r="T34" s="3"/>
      <c r="AZ34" s="28"/>
      <c r="BA34" s="23" t="e">
        <f>+#REF!+#REF!+#REF!+#REF!+#REF!+#REF!+#REF!+#REF!+#REF!</f>
        <v>#REF!</v>
      </c>
    </row>
    <row r="35" spans="1:53" ht="12.75" hidden="1">
      <c r="A35" s="30" t="s">
        <v>27</v>
      </c>
      <c r="C35" s="28"/>
      <c r="D35" s="23">
        <v>15.49</v>
      </c>
      <c r="E35" s="25"/>
      <c r="F35" s="28"/>
      <c r="G35" s="23">
        <v>0</v>
      </c>
      <c r="H35" s="25"/>
      <c r="I35" s="28"/>
      <c r="J35" s="23"/>
      <c r="K35" s="25"/>
      <c r="L35" s="28"/>
      <c r="M35" s="23"/>
      <c r="AZ35" s="28"/>
      <c r="BA35" s="26"/>
    </row>
    <row r="36" spans="1:53" ht="7.5" customHeight="1">
      <c r="A36" s="30"/>
      <c r="C36" s="28"/>
      <c r="D36" s="26"/>
      <c r="E36" s="25"/>
      <c r="F36" s="28"/>
      <c r="G36" s="23"/>
      <c r="H36" s="25"/>
      <c r="I36" s="28"/>
      <c r="J36" s="23"/>
      <c r="K36" s="25"/>
      <c r="L36" s="28"/>
      <c r="M36" s="23"/>
      <c r="AZ36" s="28"/>
      <c r="BA36" s="26"/>
    </row>
    <row r="37" spans="1:53" ht="12.75">
      <c r="A37" s="30" t="s">
        <v>28</v>
      </c>
      <c r="C37" s="22">
        <f>SUM(D38:D41)</f>
        <v>1136</v>
      </c>
      <c r="D37" s="26"/>
      <c r="E37" s="25"/>
      <c r="F37" s="22">
        <f>SUM(G38:G43)</f>
        <v>1211</v>
      </c>
      <c r="G37" s="26"/>
      <c r="H37" s="25"/>
      <c r="I37" s="22">
        <f>SUM(J38:J43)</f>
        <v>1722</v>
      </c>
      <c r="J37" s="26"/>
      <c r="K37" s="25"/>
      <c r="L37" s="22">
        <f>SUM(M38:M41)</f>
        <v>1647</v>
      </c>
      <c r="M37" s="26"/>
      <c r="AZ37" s="22" t="e">
        <f>SUM(BA38:BA41)</f>
        <v>#REF!</v>
      </c>
      <c r="BA37" s="26"/>
    </row>
    <row r="38" spans="1:53" ht="12.75">
      <c r="A38" s="27" t="s">
        <v>29</v>
      </c>
      <c r="C38" s="28"/>
      <c r="D38" s="23">
        <v>620</v>
      </c>
      <c r="F38" s="28"/>
      <c r="G38" s="23">
        <v>652</v>
      </c>
      <c r="H38" s="25"/>
      <c r="I38" s="28"/>
      <c r="J38" s="23">
        <v>1084</v>
      </c>
      <c r="K38" s="25"/>
      <c r="L38" s="33"/>
      <c r="M38" s="23">
        <v>1079</v>
      </c>
      <c r="N38" s="25" t="s">
        <v>184</v>
      </c>
      <c r="AZ38" s="28"/>
      <c r="BA38" s="23" t="e">
        <f>+#REF!+#REF!+#REF!+#REF!+#REF!+#REF!+#REF!+#REF!+#REF!</f>
        <v>#REF!</v>
      </c>
    </row>
    <row r="39" spans="1:14" ht="12.75">
      <c r="A39" s="169" t="s">
        <v>164</v>
      </c>
      <c r="C39" s="33"/>
      <c r="D39" s="24"/>
      <c r="F39" s="33"/>
      <c r="G39" s="24"/>
      <c r="I39" s="33"/>
      <c r="J39" s="26">
        <v>130</v>
      </c>
      <c r="L39" s="33"/>
      <c r="M39" s="23">
        <v>132</v>
      </c>
      <c r="N39" s="25" t="s">
        <v>183</v>
      </c>
    </row>
    <row r="40" spans="1:53" ht="12.75">
      <c r="A40" s="27" t="s">
        <v>30</v>
      </c>
      <c r="C40" s="28"/>
      <c r="D40" s="23">
        <v>353</v>
      </c>
      <c r="E40" s="3"/>
      <c r="F40" s="28"/>
      <c r="G40" s="23">
        <v>393</v>
      </c>
      <c r="H40" s="25"/>
      <c r="I40" s="28"/>
      <c r="J40" s="23">
        <v>383</v>
      </c>
      <c r="K40" s="25"/>
      <c r="L40" s="33"/>
      <c r="M40" s="23">
        <v>338</v>
      </c>
      <c r="AZ40" s="28"/>
      <c r="BA40" s="23" t="e">
        <f>+#REF!+#REF!+#REF!+#REF!+#REF!+#REF!+#REF!+#REF!+#REF!</f>
        <v>#REF!</v>
      </c>
    </row>
    <row r="41" spans="1:53" ht="12.75">
      <c r="A41" s="27" t="s">
        <v>31</v>
      </c>
      <c r="C41" s="28" t="s">
        <v>165</v>
      </c>
      <c r="D41" s="23">
        <v>163</v>
      </c>
      <c r="E41" s="3"/>
      <c r="F41" s="28" t="s">
        <v>165</v>
      </c>
      <c r="G41" s="23">
        <v>166</v>
      </c>
      <c r="H41" s="25"/>
      <c r="I41" s="28" t="s">
        <v>165</v>
      </c>
      <c r="J41" s="23">
        <v>125</v>
      </c>
      <c r="K41" s="25"/>
      <c r="L41" s="33" t="s">
        <v>165</v>
      </c>
      <c r="M41" s="23">
        <v>98</v>
      </c>
      <c r="AZ41" s="28"/>
      <c r="BA41" s="23" t="e">
        <f>+#REF!+#REF!+#REF!+#REF!+#REF!+#REF!+#REF!+#REF!+#REF!</f>
        <v>#REF!</v>
      </c>
    </row>
    <row r="42" spans="1:53" ht="12.75" hidden="1">
      <c r="A42" s="27" t="s">
        <v>32</v>
      </c>
      <c r="C42" s="28"/>
      <c r="D42" s="23">
        <v>22</v>
      </c>
      <c r="F42" s="28"/>
      <c r="G42" s="23">
        <v>0</v>
      </c>
      <c r="H42" s="25"/>
      <c r="I42" s="28"/>
      <c r="J42" s="23">
        <v>0</v>
      </c>
      <c r="K42" s="25"/>
      <c r="L42" s="33"/>
      <c r="M42" s="23">
        <v>0</v>
      </c>
      <c r="AZ42" s="28"/>
      <c r="BA42" s="23"/>
    </row>
    <row r="43" spans="1:53" ht="12.75" hidden="1">
      <c r="A43" s="27" t="s">
        <v>33</v>
      </c>
      <c r="C43" s="28"/>
      <c r="D43" s="23">
        <v>413</v>
      </c>
      <c r="F43" s="28"/>
      <c r="G43" s="23">
        <v>0</v>
      </c>
      <c r="H43" s="25"/>
      <c r="I43" s="28"/>
      <c r="J43" s="23">
        <v>0</v>
      </c>
      <c r="K43" s="25"/>
      <c r="L43" s="33"/>
      <c r="M43" s="23">
        <v>0</v>
      </c>
      <c r="AZ43" s="28"/>
      <c r="BA43" s="23"/>
    </row>
    <row r="44" spans="1:53" ht="12.75">
      <c r="A44" s="34" t="s">
        <v>34</v>
      </c>
      <c r="B44" s="3"/>
      <c r="C44" s="35">
        <f>SUM(C7:C37)</f>
        <v>26873</v>
      </c>
      <c r="D44" s="36"/>
      <c r="F44" s="35">
        <f>SUM(F7:F37)</f>
        <v>28930</v>
      </c>
      <c r="G44" s="36"/>
      <c r="H44" s="29"/>
      <c r="I44" s="35">
        <f>SUM(I7:I37)</f>
        <v>30239</v>
      </c>
      <c r="J44" s="36"/>
      <c r="K44" s="29"/>
      <c r="L44" s="35">
        <f>SUM(L7:L37)</f>
        <v>29657</v>
      </c>
      <c r="M44" s="37"/>
      <c r="Q44" s="3"/>
      <c r="S44" s="3"/>
      <c r="AZ44" s="38" t="e">
        <f>SUM(AZ7:AZ37)</f>
        <v>#REF!</v>
      </c>
      <c r="BA44" s="39"/>
    </row>
    <row r="45" spans="1:11" ht="4.5" customHeight="1">
      <c r="A45" s="40"/>
      <c r="C45" s="41"/>
      <c r="D45" s="42"/>
      <c r="F45" s="25"/>
      <c r="G45" s="25"/>
      <c r="H45" s="25"/>
      <c r="I45" s="25"/>
      <c r="J45" s="25"/>
      <c r="K45" s="25"/>
    </row>
    <row r="46" spans="1:53" ht="12.75">
      <c r="A46" s="43" t="s">
        <v>35</v>
      </c>
      <c r="C46" s="44">
        <v>16</v>
      </c>
      <c r="D46" s="45"/>
      <c r="F46" s="44">
        <v>21</v>
      </c>
      <c r="G46" s="45"/>
      <c r="H46" s="25"/>
      <c r="I46" s="44">
        <v>21</v>
      </c>
      <c r="J46" s="45"/>
      <c r="K46" s="25"/>
      <c r="L46" s="44">
        <v>21</v>
      </c>
      <c r="M46" s="45"/>
      <c r="AZ46" s="44" t="e">
        <f>+#REF!-#REF!</f>
        <v>#REF!</v>
      </c>
      <c r="BA46" s="46"/>
    </row>
    <row r="47" spans="1:52" ht="5.25" customHeight="1">
      <c r="A47" s="40"/>
      <c r="C47" s="47"/>
      <c r="D47" s="3"/>
      <c r="F47" s="47"/>
      <c r="G47" s="3"/>
      <c r="H47" s="25"/>
      <c r="I47" s="47"/>
      <c r="J47" s="3"/>
      <c r="K47" s="25"/>
      <c r="L47" s="47"/>
      <c r="M47" s="3"/>
      <c r="AZ47" s="47"/>
    </row>
    <row r="48" spans="1:53" ht="12.75">
      <c r="A48" s="43" t="s">
        <v>36</v>
      </c>
      <c r="C48" s="44">
        <v>951</v>
      </c>
      <c r="D48" s="48" t="s">
        <v>37</v>
      </c>
      <c r="F48" s="44">
        <v>837</v>
      </c>
      <c r="G48" s="48" t="s">
        <v>37</v>
      </c>
      <c r="H48" s="25"/>
      <c r="I48" s="44">
        <v>1840</v>
      </c>
      <c r="J48" s="48" t="s">
        <v>37</v>
      </c>
      <c r="K48" s="25"/>
      <c r="L48" s="44">
        <v>1840</v>
      </c>
      <c r="M48" s="48" t="s">
        <v>37</v>
      </c>
      <c r="AZ48" s="44" t="e">
        <f>+#REF!-#REF!</f>
        <v>#REF!</v>
      </c>
      <c r="BA48" s="49" t="s">
        <v>38</v>
      </c>
    </row>
    <row r="49" spans="1:52" ht="6.75" customHeight="1">
      <c r="A49" s="40"/>
      <c r="C49" s="47"/>
      <c r="D49" s="3"/>
      <c r="F49" s="47"/>
      <c r="G49" s="3"/>
      <c r="H49" s="25"/>
      <c r="I49" s="47"/>
      <c r="J49" s="3"/>
      <c r="K49" s="25"/>
      <c r="L49" s="47"/>
      <c r="M49" s="3"/>
      <c r="AZ49" s="47"/>
    </row>
    <row r="50" spans="1:53" ht="12.75">
      <c r="A50" s="43" t="s">
        <v>39</v>
      </c>
      <c r="C50" s="44">
        <f>+C48+C46+C44</f>
        <v>27840</v>
      </c>
      <c r="D50" s="45"/>
      <c r="F50" s="44">
        <f>SUM(F44:F48)</f>
        <v>29788</v>
      </c>
      <c r="G50" s="45"/>
      <c r="H50" s="25"/>
      <c r="I50" s="44">
        <f>SUM(I44:I48)</f>
        <v>32100</v>
      </c>
      <c r="J50" s="45"/>
      <c r="K50" s="25"/>
      <c r="L50" s="44">
        <f>+L48+L46+L44</f>
        <v>31518</v>
      </c>
      <c r="M50" s="45"/>
      <c r="N50" s="166"/>
      <c r="AZ50" s="44" t="e">
        <f>+AZ48+AZ46+AZ44</f>
        <v>#REF!</v>
      </c>
      <c r="BA50" s="46"/>
    </row>
    <row r="51" ht="5.25" customHeight="1"/>
    <row r="52" spans="1:21" s="47" customFormat="1" ht="15" customHeight="1">
      <c r="A52" s="25" t="s">
        <v>167</v>
      </c>
      <c r="F52"/>
      <c r="G52"/>
      <c r="L52" s="40"/>
      <c r="N52" s="25"/>
      <c r="U52" s="178"/>
    </row>
    <row r="53" spans="3:14" s="47" customFormat="1" ht="15" customHeight="1">
      <c r="C53" s="40"/>
      <c r="F53" s="3"/>
      <c r="G53"/>
      <c r="N53" s="25"/>
    </row>
    <row r="54" spans="6:14" s="47" customFormat="1" ht="5.25" customHeight="1">
      <c r="F54"/>
      <c r="G54"/>
      <c r="N54" s="25"/>
    </row>
    <row r="55" spans="1:3" ht="15" customHeight="1">
      <c r="A55" s="3"/>
      <c r="C55" s="40"/>
    </row>
    <row r="56" ht="15" customHeight="1">
      <c r="A56" s="25"/>
    </row>
    <row r="57" ht="15" customHeight="1">
      <c r="A57" s="25"/>
    </row>
    <row r="58" ht="4.5" customHeight="1"/>
    <row r="59" ht="15" customHeight="1">
      <c r="A59" s="25"/>
    </row>
    <row r="60" spans="1:20" ht="15" customHeight="1">
      <c r="A60" s="25"/>
      <c r="T60" s="178">
        <v>16</v>
      </c>
    </row>
    <row r="61" ht="6" customHeight="1" hidden="1"/>
    <row r="62" ht="15" customHeight="1" hidden="1">
      <c r="A62" s="25"/>
    </row>
    <row r="63" ht="15" customHeight="1" hidden="1">
      <c r="A63" s="25"/>
    </row>
    <row r="64" ht="4.5" customHeight="1"/>
    <row r="65" ht="15" customHeight="1">
      <c r="A65" s="25"/>
    </row>
    <row r="66" ht="15" customHeight="1">
      <c r="A66" s="25"/>
    </row>
    <row r="67" ht="4.5" customHeight="1"/>
    <row r="68" ht="15" customHeight="1">
      <c r="A68" s="25"/>
    </row>
    <row r="69" ht="15" customHeight="1">
      <c r="A69" s="25"/>
    </row>
  </sheetData>
  <printOptions/>
  <pageMargins left="0.23" right="0.21" top="0.27" bottom="0.2" header="0.2" footer="0.18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"/>
    </sheetView>
  </sheetViews>
  <sheetFormatPr defaultColWidth="9.140625" defaultRowHeight="12.75"/>
  <cols>
    <col min="1" max="1" width="44.57421875" style="0" customWidth="1"/>
    <col min="2" max="2" width="11.421875" style="0" customWidth="1"/>
    <col min="3" max="3" width="1.57421875" style="19" customWidth="1"/>
    <col min="4" max="4" width="11.421875" style="0" customWidth="1"/>
    <col min="5" max="5" width="1.7109375" style="19" customWidth="1"/>
    <col min="6" max="6" width="10.00390625" style="0" customWidth="1"/>
    <col min="8" max="8" width="37.00390625" style="0" bestFit="1" customWidth="1"/>
    <col min="9" max="9" width="12.7109375" style="0" bestFit="1" customWidth="1"/>
    <col min="10" max="10" width="1.7109375" style="0" customWidth="1"/>
  </cols>
  <sheetData>
    <row r="1" spans="1:5" s="31" customFormat="1" ht="15.75">
      <c r="A1" s="50" t="s">
        <v>168</v>
      </c>
      <c r="B1" s="50"/>
      <c r="C1" s="170"/>
      <c r="D1" s="50"/>
      <c r="E1" s="170"/>
    </row>
    <row r="2" spans="1:9" s="31" customFormat="1" ht="15.75">
      <c r="A2" s="50"/>
      <c r="B2" s="50"/>
      <c r="C2" s="170"/>
      <c r="D2" s="50"/>
      <c r="E2" s="170"/>
      <c r="I2" s="31" t="s">
        <v>194</v>
      </c>
    </row>
    <row r="3" spans="3:5" s="31" customFormat="1" ht="9" customHeight="1">
      <c r="C3" s="106"/>
      <c r="E3" s="106"/>
    </row>
    <row r="4" spans="1:10" s="31" customFormat="1" ht="12.75">
      <c r="A4" s="32" t="s">
        <v>192</v>
      </c>
      <c r="B4" s="52" t="s">
        <v>0</v>
      </c>
      <c r="C4" s="106"/>
      <c r="D4" s="52" t="s">
        <v>159</v>
      </c>
      <c r="E4" s="106"/>
      <c r="F4" s="52" t="s">
        <v>2</v>
      </c>
      <c r="H4" s="32" t="s">
        <v>203</v>
      </c>
      <c r="I4" s="52" t="s">
        <v>2</v>
      </c>
      <c r="J4" s="174"/>
    </row>
    <row r="5" spans="2:10" s="31" customFormat="1" ht="12.75">
      <c r="B5" s="53">
        <v>2000</v>
      </c>
      <c r="C5" s="106"/>
      <c r="D5" s="53">
        <v>2001</v>
      </c>
      <c r="E5" s="106"/>
      <c r="F5" s="53">
        <v>2002</v>
      </c>
      <c r="H5"/>
      <c r="I5" s="70">
        <v>2002</v>
      </c>
      <c r="J5" s="174"/>
    </row>
    <row r="6" spans="1:10" s="31" customFormat="1" ht="12.75">
      <c r="A6" s="54" t="s">
        <v>143</v>
      </c>
      <c r="B6" s="57"/>
      <c r="C6" s="57"/>
      <c r="D6" s="57">
        <v>81</v>
      </c>
      <c r="E6" s="56"/>
      <c r="F6" s="57">
        <v>207</v>
      </c>
      <c r="G6" s="65"/>
      <c r="H6" s="54" t="s">
        <v>204</v>
      </c>
      <c r="I6" s="176"/>
      <c r="J6" s="174"/>
    </row>
    <row r="7" spans="1:10" s="31" customFormat="1" ht="12.75">
      <c r="A7" s="56"/>
      <c r="B7" s="57"/>
      <c r="C7" s="57"/>
      <c r="D7" s="57"/>
      <c r="E7" s="56"/>
      <c r="F7" s="57"/>
      <c r="G7" s="65"/>
      <c r="H7" s="56" t="s">
        <v>205</v>
      </c>
      <c r="I7" s="57">
        <v>697</v>
      </c>
      <c r="J7" s="174"/>
    </row>
    <row r="8" spans="1:10" s="31" customFormat="1" ht="12.75">
      <c r="A8" s="56" t="s">
        <v>169</v>
      </c>
      <c r="B8" s="57"/>
      <c r="C8" s="57"/>
      <c r="D8" s="57">
        <v>393</v>
      </c>
      <c r="E8" s="56"/>
      <c r="F8" s="57"/>
      <c r="G8" s="65"/>
      <c r="H8" s="56"/>
      <c r="I8" s="57"/>
      <c r="J8" s="175"/>
    </row>
    <row r="9" spans="1:10" s="31" customFormat="1" ht="12.75">
      <c r="A9" s="56"/>
      <c r="B9" s="57"/>
      <c r="C9" s="57"/>
      <c r="D9" s="57"/>
      <c r="E9" s="56"/>
      <c r="F9" s="57"/>
      <c r="H9" s="56" t="s">
        <v>195</v>
      </c>
      <c r="I9" s="57"/>
      <c r="J9" s="175"/>
    </row>
    <row r="10" spans="1:10" s="31" customFormat="1" ht="12.75">
      <c r="A10" s="56" t="s">
        <v>139</v>
      </c>
      <c r="B10" s="57"/>
      <c r="C10" s="57"/>
      <c r="D10" s="57"/>
      <c r="E10" s="56"/>
      <c r="F10" s="57">
        <v>129</v>
      </c>
      <c r="H10" s="56" t="s">
        <v>196</v>
      </c>
      <c r="I10" s="57">
        <v>620</v>
      </c>
      <c r="J10" s="175"/>
    </row>
    <row r="11" spans="1:10" s="31" customFormat="1" ht="5.25" customHeight="1">
      <c r="A11" s="56"/>
      <c r="B11" s="57"/>
      <c r="C11" s="57"/>
      <c r="D11" s="57"/>
      <c r="E11" s="56"/>
      <c r="F11" s="57"/>
      <c r="H11" s="56"/>
      <c r="I11" s="57"/>
      <c r="J11" s="175"/>
    </row>
    <row r="12" spans="1:10" s="31" customFormat="1" ht="12.75">
      <c r="A12" s="56" t="s">
        <v>140</v>
      </c>
      <c r="B12" s="57">
        <f>ROUND(124/1.93627,0)</f>
        <v>64</v>
      </c>
      <c r="C12" s="57"/>
      <c r="D12" s="57"/>
      <c r="E12" s="56"/>
      <c r="F12" s="57">
        <v>263</v>
      </c>
      <c r="H12" s="56" t="s">
        <v>197</v>
      </c>
      <c r="I12" s="57"/>
      <c r="J12" s="175"/>
    </row>
    <row r="13" spans="1:10" s="31" customFormat="1" ht="12.75">
      <c r="A13" s="56"/>
      <c r="B13" s="57"/>
      <c r="C13" s="57"/>
      <c r="D13" s="57"/>
      <c r="E13" s="56"/>
      <c r="F13" s="57"/>
      <c r="H13" s="56" t="s">
        <v>198</v>
      </c>
      <c r="I13" s="57">
        <v>516</v>
      </c>
      <c r="J13" s="175"/>
    </row>
    <row r="14" spans="1:10" s="31" customFormat="1" ht="12.75">
      <c r="A14" s="56" t="s">
        <v>151</v>
      </c>
      <c r="B14" s="57"/>
      <c r="C14" s="57"/>
      <c r="D14" s="57"/>
      <c r="E14" s="56"/>
      <c r="F14" s="57">
        <v>116</v>
      </c>
      <c r="H14" s="56"/>
      <c r="I14" s="56"/>
      <c r="J14"/>
    </row>
    <row r="15" spans="1:10" s="31" customFormat="1" ht="6" customHeight="1">
      <c r="A15" s="56"/>
      <c r="B15" s="57"/>
      <c r="C15" s="57"/>
      <c r="D15" s="57"/>
      <c r="E15" s="56"/>
      <c r="F15" s="57"/>
      <c r="H15" s="56"/>
      <c r="I15" s="57"/>
      <c r="J15" s="174"/>
    </row>
    <row r="16" spans="1:9" s="31" customFormat="1" ht="12.75">
      <c r="A16" s="56" t="s">
        <v>141</v>
      </c>
      <c r="B16" s="57"/>
      <c r="C16" s="57"/>
      <c r="D16" s="57"/>
      <c r="E16" s="56"/>
      <c r="F16" s="57">
        <v>232</v>
      </c>
      <c r="H16" s="56" t="s">
        <v>199</v>
      </c>
      <c r="I16" s="56">
        <v>465</v>
      </c>
    </row>
    <row r="17" spans="1:9" s="31" customFormat="1" ht="6.75" customHeight="1">
      <c r="A17" s="56"/>
      <c r="B17" s="57"/>
      <c r="C17" s="57"/>
      <c r="D17" s="57"/>
      <c r="E17" s="56"/>
      <c r="F17" s="57"/>
      <c r="H17" s="56"/>
      <c r="I17" s="56"/>
    </row>
    <row r="18" spans="1:9" s="31" customFormat="1" ht="12.75">
      <c r="A18" s="56" t="s">
        <v>170</v>
      </c>
      <c r="B18" s="57">
        <f>ROUND(26/1.93627,0)</f>
        <v>13</v>
      </c>
      <c r="C18" s="57"/>
      <c r="D18" s="57">
        <v>25</v>
      </c>
      <c r="E18" s="56"/>
      <c r="F18" s="57">
        <v>67</v>
      </c>
      <c r="H18" s="56" t="s">
        <v>193</v>
      </c>
      <c r="I18" s="56">
        <v>103</v>
      </c>
    </row>
    <row r="19" spans="1:9" s="31" customFormat="1" ht="6.75" customHeight="1">
      <c r="A19" s="56"/>
      <c r="B19" s="57"/>
      <c r="C19" s="57"/>
      <c r="D19" s="57"/>
      <c r="E19" s="56"/>
      <c r="F19" s="57"/>
      <c r="H19" s="56"/>
      <c r="I19" s="56"/>
    </row>
    <row r="20" spans="1:9" s="31" customFormat="1" ht="12.75">
      <c r="A20" s="56" t="s">
        <v>144</v>
      </c>
      <c r="B20" s="57"/>
      <c r="C20" s="57"/>
      <c r="D20" s="57"/>
      <c r="E20" s="56"/>
      <c r="F20" s="57">
        <v>294</v>
      </c>
      <c r="H20" s="56" t="s">
        <v>200</v>
      </c>
      <c r="I20" s="56">
        <v>26</v>
      </c>
    </row>
    <row r="21" spans="1:9" s="31" customFormat="1" ht="6.75" customHeight="1">
      <c r="A21" s="56"/>
      <c r="B21" s="57"/>
      <c r="C21" s="57"/>
      <c r="D21" s="57"/>
      <c r="E21" s="56"/>
      <c r="F21" s="57"/>
      <c r="H21" s="56"/>
      <c r="I21" s="56"/>
    </row>
    <row r="22" spans="1:9" s="31" customFormat="1" ht="12.75">
      <c r="A22" s="56" t="s">
        <v>171</v>
      </c>
      <c r="B22" s="57">
        <v>196</v>
      </c>
      <c r="C22" s="57"/>
      <c r="D22" s="57">
        <v>131</v>
      </c>
      <c r="E22" s="56"/>
      <c r="F22" s="57"/>
      <c r="H22" s="56" t="s">
        <v>201</v>
      </c>
      <c r="I22" s="56"/>
    </row>
    <row r="23" spans="1:9" s="31" customFormat="1" ht="12.75">
      <c r="A23" s="56"/>
      <c r="B23" s="57"/>
      <c r="C23" s="57"/>
      <c r="D23" s="57"/>
      <c r="E23" s="56"/>
      <c r="F23" s="57"/>
      <c r="H23" s="56" t="s">
        <v>202</v>
      </c>
      <c r="I23" s="56">
        <v>26</v>
      </c>
    </row>
    <row r="24" spans="1:9" s="31" customFormat="1" ht="12.75">
      <c r="A24" s="56" t="s">
        <v>172</v>
      </c>
      <c r="B24" s="57">
        <f>ROUND(1051/1.93627,0)+ROUND(14/1.93627,0)</f>
        <v>550</v>
      </c>
      <c r="C24" s="57"/>
      <c r="D24" s="57">
        <v>83</v>
      </c>
      <c r="E24" s="56"/>
      <c r="F24" s="57">
        <v>103</v>
      </c>
      <c r="H24" s="56"/>
      <c r="I24" s="56"/>
    </row>
    <row r="25" spans="1:9" s="31" customFormat="1" ht="5.25" customHeight="1">
      <c r="A25" s="56"/>
      <c r="B25" s="57"/>
      <c r="C25" s="57"/>
      <c r="D25" s="57"/>
      <c r="E25" s="56"/>
      <c r="F25" s="57"/>
      <c r="H25" s="56"/>
      <c r="I25" s="56"/>
    </row>
    <row r="26" spans="1:9" s="31" customFormat="1" ht="12.75">
      <c r="A26" s="56" t="s">
        <v>30</v>
      </c>
      <c r="B26" s="57"/>
      <c r="C26" s="57"/>
      <c r="D26" s="57">
        <v>13</v>
      </c>
      <c r="E26" s="56"/>
      <c r="F26" s="57">
        <v>189</v>
      </c>
      <c r="G26" s="61"/>
      <c r="H26" s="56"/>
      <c r="I26" s="56"/>
    </row>
    <row r="27" spans="1:9" s="31" customFormat="1" ht="6.75" customHeight="1">
      <c r="A27" s="56"/>
      <c r="B27" s="57"/>
      <c r="C27" s="57"/>
      <c r="D27" s="57"/>
      <c r="E27" s="56"/>
      <c r="F27" s="57"/>
      <c r="H27" s="56"/>
      <c r="I27" s="56"/>
    </row>
    <row r="28" spans="1:9" s="31" customFormat="1" ht="12.75">
      <c r="A28" s="56" t="s">
        <v>51</v>
      </c>
      <c r="B28" s="57"/>
      <c r="C28" s="57"/>
      <c r="D28" s="57"/>
      <c r="E28" s="56"/>
      <c r="F28" s="57">
        <v>103</v>
      </c>
      <c r="H28" s="56"/>
      <c r="I28" s="56"/>
    </row>
    <row r="29" spans="1:9" s="31" customFormat="1" ht="6" customHeight="1">
      <c r="A29" s="56"/>
      <c r="B29" s="57"/>
      <c r="C29" s="57"/>
      <c r="D29" s="57"/>
      <c r="E29" s="56"/>
      <c r="F29" s="57"/>
      <c r="H29" s="56"/>
      <c r="I29" s="56"/>
    </row>
    <row r="30" spans="1:14" s="31" customFormat="1" ht="12.75">
      <c r="A30" s="56" t="s">
        <v>52</v>
      </c>
      <c r="B30" s="57">
        <v>8</v>
      </c>
      <c r="C30" s="57"/>
      <c r="D30" s="57">
        <v>8</v>
      </c>
      <c r="E30" s="56"/>
      <c r="F30" s="57">
        <v>8</v>
      </c>
      <c r="H30" s="56"/>
      <c r="I30" s="56"/>
      <c r="N30" s="156"/>
    </row>
    <row r="31" spans="1:14" s="31" customFormat="1" ht="4.5" customHeight="1">
      <c r="A31" s="56"/>
      <c r="B31" s="57"/>
      <c r="C31" s="57"/>
      <c r="D31" s="57"/>
      <c r="E31" s="56"/>
      <c r="F31" s="57"/>
      <c r="H31" s="56"/>
      <c r="I31" s="56"/>
      <c r="N31" s="156"/>
    </row>
    <row r="32" spans="1:14" s="31" customFormat="1" ht="12.75">
      <c r="A32" s="56" t="s">
        <v>173</v>
      </c>
      <c r="B32" s="57">
        <f>ROUND(112/1.93627,0)</f>
        <v>58</v>
      </c>
      <c r="C32" s="57"/>
      <c r="D32" s="57"/>
      <c r="E32" s="56"/>
      <c r="F32" s="57"/>
      <c r="H32" s="56"/>
      <c r="I32" s="56"/>
      <c r="N32" s="156"/>
    </row>
    <row r="33" spans="1:9" s="31" customFormat="1" ht="6.75" customHeight="1">
      <c r="A33" s="56"/>
      <c r="B33" s="57"/>
      <c r="C33" s="57"/>
      <c r="D33" s="57"/>
      <c r="E33" s="56"/>
      <c r="F33" s="57"/>
      <c r="H33" s="56"/>
      <c r="I33" s="56"/>
    </row>
    <row r="34" spans="1:9" s="31" customFormat="1" ht="12.75">
      <c r="A34" s="56" t="s">
        <v>109</v>
      </c>
      <c r="B34" s="57">
        <f>ROUND(120/1.93627,0)</f>
        <v>62</v>
      </c>
      <c r="C34" s="57"/>
      <c r="D34" s="57">
        <v>103</v>
      </c>
      <c r="E34" s="56"/>
      <c r="F34" s="57">
        <v>129</v>
      </c>
      <c r="H34" s="56"/>
      <c r="I34" s="56"/>
    </row>
    <row r="35" spans="1:9" s="31" customFormat="1" ht="7.5" customHeight="1">
      <c r="A35" s="58"/>
      <c r="B35" s="59"/>
      <c r="C35" s="57"/>
      <c r="D35" s="59"/>
      <c r="E35" s="56"/>
      <c r="F35" s="59"/>
      <c r="H35" s="56"/>
      <c r="I35" s="56"/>
    </row>
    <row r="36" spans="1:9" s="31" customFormat="1" ht="12.75">
      <c r="A36" s="62" t="s">
        <v>53</v>
      </c>
      <c r="B36" s="63">
        <f>SUM(B6:B34)</f>
        <v>951</v>
      </c>
      <c r="C36" s="72"/>
      <c r="D36" s="63">
        <f>SUM(D6:D34)</f>
        <v>837</v>
      </c>
      <c r="E36" s="74"/>
      <c r="F36" s="63">
        <f>SUM(F6:F34)</f>
        <v>1840</v>
      </c>
      <c r="H36" s="62" t="s">
        <v>53</v>
      </c>
      <c r="I36" s="63">
        <f>SUM(I7:I35)</f>
        <v>2453</v>
      </c>
    </row>
    <row r="37" spans="2:6" s="31" customFormat="1" ht="8.25" customHeight="1">
      <c r="B37" s="65"/>
      <c r="C37" s="110"/>
      <c r="D37" s="65"/>
      <c r="E37" s="106"/>
      <c r="F37" s="64"/>
    </row>
    <row r="38" spans="1:6" s="31" customFormat="1" ht="12.75">
      <c r="A38" s="62" t="s">
        <v>54</v>
      </c>
      <c r="B38" s="63">
        <v>16</v>
      </c>
      <c r="C38" s="72"/>
      <c r="D38" s="63">
        <v>21</v>
      </c>
      <c r="E38" s="74"/>
      <c r="F38" s="63">
        <v>21</v>
      </c>
    </row>
    <row r="43" ht="15">
      <c r="I43" s="178">
        <v>17</v>
      </c>
    </row>
  </sheetData>
  <printOptions/>
  <pageMargins left="0.41" right="0.3" top="1" bottom="0.45" header="0.5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29">
      <selection activeCell="A1" sqref="A1"/>
    </sheetView>
  </sheetViews>
  <sheetFormatPr defaultColWidth="9.140625" defaultRowHeight="12.75"/>
  <cols>
    <col min="1" max="1" width="36.8515625" style="31" customWidth="1"/>
    <col min="2" max="2" width="12.421875" style="31" customWidth="1"/>
    <col min="3" max="3" width="11.140625" style="31" customWidth="1"/>
    <col min="4" max="6" width="9.140625" style="31" customWidth="1"/>
    <col min="7" max="7" width="2.140625" style="31" customWidth="1"/>
    <col min="8" max="16384" width="9.140625" style="31" customWidth="1"/>
  </cols>
  <sheetData>
    <row r="1" ht="15.75">
      <c r="A1" s="50" t="s">
        <v>174</v>
      </c>
    </row>
    <row r="2" ht="12.75">
      <c r="A2" s="51" t="s">
        <v>150</v>
      </c>
    </row>
    <row r="4" ht="12.75">
      <c r="B4" s="52" t="s">
        <v>2</v>
      </c>
    </row>
    <row r="5" ht="12.75">
      <c r="B5" s="53">
        <v>2002</v>
      </c>
    </row>
    <row r="6" spans="1:2" ht="12.75">
      <c r="A6" s="54" t="s">
        <v>40</v>
      </c>
      <c r="B6" s="55">
        <v>1778161</v>
      </c>
    </row>
    <row r="7" spans="1:2" ht="12.75">
      <c r="A7" s="56" t="s">
        <v>41</v>
      </c>
      <c r="B7" s="57">
        <v>4938877</v>
      </c>
    </row>
    <row r="8" spans="1:2" ht="12.75">
      <c r="A8" s="56" t="s">
        <v>42</v>
      </c>
      <c r="B8" s="57">
        <v>2831733</v>
      </c>
    </row>
    <row r="9" spans="1:2" ht="12.75">
      <c r="A9" s="56" t="s">
        <v>43</v>
      </c>
      <c r="B9" s="57">
        <v>2344198</v>
      </c>
    </row>
    <row r="10" spans="1:2" ht="12.75">
      <c r="A10" s="56" t="s">
        <v>44</v>
      </c>
      <c r="B10" s="57">
        <v>2722761</v>
      </c>
    </row>
    <row r="11" spans="1:3" ht="12.75">
      <c r="A11" s="56" t="s">
        <v>45</v>
      </c>
      <c r="B11" s="57">
        <v>3462327</v>
      </c>
      <c r="C11" s="65"/>
    </row>
    <row r="12" spans="1:4" ht="12.75">
      <c r="A12" s="56" t="s">
        <v>46</v>
      </c>
      <c r="B12" s="57">
        <v>3473689</v>
      </c>
      <c r="D12" s="65"/>
    </row>
    <row r="13" spans="1:2" ht="12.75">
      <c r="A13" s="56" t="s">
        <v>47</v>
      </c>
      <c r="B13" s="57">
        <v>3637406</v>
      </c>
    </row>
    <row r="14" spans="1:4" ht="12.75">
      <c r="A14" s="58" t="s">
        <v>48</v>
      </c>
      <c r="B14" s="59">
        <v>4468902</v>
      </c>
      <c r="D14" s="65"/>
    </row>
    <row r="15" spans="1:2" ht="12.75">
      <c r="A15" s="58" t="s">
        <v>49</v>
      </c>
      <c r="B15" s="60">
        <f>SUM(B6:B14)</f>
        <v>29658054</v>
      </c>
    </row>
    <row r="16" ht="9" customHeight="1"/>
    <row r="18" ht="15.75">
      <c r="A18" s="50" t="s">
        <v>107</v>
      </c>
    </row>
    <row r="19" ht="12.75">
      <c r="A19" s="51" t="s">
        <v>150</v>
      </c>
    </row>
    <row r="20" ht="12.75">
      <c r="B20" s="52" t="s">
        <v>2</v>
      </c>
    </row>
    <row r="21" ht="12.75">
      <c r="B21" s="53">
        <v>2002</v>
      </c>
    </row>
    <row r="22" spans="1:3" ht="12.75">
      <c r="A22" s="54" t="s">
        <v>143</v>
      </c>
      <c r="B22" s="57">
        <v>206583</v>
      </c>
      <c r="C22" s="65"/>
    </row>
    <row r="23" spans="1:2" ht="6" customHeight="1">
      <c r="A23" s="56"/>
      <c r="B23" s="57"/>
    </row>
    <row r="24" spans="1:2" ht="12.75">
      <c r="A24" s="56" t="s">
        <v>139</v>
      </c>
      <c r="B24" s="57">
        <v>129114</v>
      </c>
    </row>
    <row r="25" spans="1:2" ht="5.25" customHeight="1">
      <c r="A25" s="56"/>
      <c r="B25" s="57"/>
    </row>
    <row r="26" spans="1:2" ht="12.75">
      <c r="A26" s="56" t="s">
        <v>140</v>
      </c>
      <c r="B26" s="57">
        <v>263393</v>
      </c>
    </row>
    <row r="27" spans="1:2" ht="6" customHeight="1">
      <c r="A27" s="56"/>
      <c r="B27" s="57"/>
    </row>
    <row r="28" spans="1:2" ht="12.75">
      <c r="A28" s="56" t="s">
        <v>151</v>
      </c>
      <c r="B28" s="57">
        <v>116203</v>
      </c>
    </row>
    <row r="29" spans="1:2" ht="6" customHeight="1">
      <c r="A29" s="56"/>
      <c r="B29" s="57"/>
    </row>
    <row r="30" spans="1:2" ht="12.75">
      <c r="A30" s="56" t="s">
        <v>141</v>
      </c>
      <c r="B30" s="57">
        <v>232406</v>
      </c>
    </row>
    <row r="31" spans="1:2" ht="6.75" customHeight="1">
      <c r="A31" s="56"/>
      <c r="B31" s="57"/>
    </row>
    <row r="32" spans="1:2" ht="12.75">
      <c r="A32" s="56" t="s">
        <v>142</v>
      </c>
      <c r="B32" s="57">
        <v>67139</v>
      </c>
    </row>
    <row r="33" spans="1:2" ht="6.75" customHeight="1">
      <c r="A33" s="56"/>
      <c r="B33" s="57"/>
    </row>
    <row r="34" spans="1:2" ht="12.75">
      <c r="A34" s="56" t="s">
        <v>144</v>
      </c>
      <c r="B34" s="57">
        <v>293348</v>
      </c>
    </row>
    <row r="35" spans="1:2" ht="7.5" customHeight="1">
      <c r="A35" s="56"/>
      <c r="B35" s="57"/>
    </row>
    <row r="36" spans="1:2" ht="12.75">
      <c r="A36" s="56" t="s">
        <v>108</v>
      </c>
      <c r="B36" s="57">
        <v>103291</v>
      </c>
    </row>
    <row r="37" spans="1:2" ht="6.75" customHeight="1">
      <c r="A37" s="56"/>
      <c r="B37" s="57"/>
    </row>
    <row r="38" spans="1:3" ht="12.75">
      <c r="A38" s="56" t="s">
        <v>50</v>
      </c>
      <c r="B38" s="57">
        <v>188507</v>
      </c>
      <c r="C38" s="61"/>
    </row>
    <row r="39" spans="1:2" ht="6.75" customHeight="1">
      <c r="A39" s="56"/>
      <c r="B39" s="57"/>
    </row>
    <row r="40" spans="1:2" ht="12.75">
      <c r="A40" s="56" t="s">
        <v>51</v>
      </c>
      <c r="B40" s="57">
        <v>103291</v>
      </c>
    </row>
    <row r="41" spans="1:2" ht="6" customHeight="1">
      <c r="A41" s="56"/>
      <c r="B41" s="57"/>
    </row>
    <row r="42" spans="1:11" ht="12.75">
      <c r="A42" s="56" t="s">
        <v>52</v>
      </c>
      <c r="B42" s="57">
        <v>7747</v>
      </c>
      <c r="K42" s="156"/>
    </row>
    <row r="43" spans="1:2" ht="6.75" customHeight="1">
      <c r="A43" s="56"/>
      <c r="B43" s="57"/>
    </row>
    <row r="44" spans="1:2" ht="12.75">
      <c r="A44" s="56" t="s">
        <v>109</v>
      </c>
      <c r="B44" s="57">
        <v>129114</v>
      </c>
    </row>
    <row r="45" spans="1:2" ht="7.5" customHeight="1">
      <c r="A45" s="58"/>
      <c r="B45" s="59"/>
    </row>
    <row r="46" spans="1:2" ht="12.75">
      <c r="A46" s="62" t="s">
        <v>53</v>
      </c>
      <c r="B46" s="63">
        <f>SUM(B22:B44)</f>
        <v>1840136</v>
      </c>
    </row>
    <row r="47" ht="12.75">
      <c r="B47" s="64"/>
    </row>
    <row r="48" spans="1:2" ht="12.75">
      <c r="A48" s="62" t="s">
        <v>54</v>
      </c>
      <c r="B48" s="63">
        <v>20658</v>
      </c>
    </row>
    <row r="49" ht="12.75">
      <c r="B49" s="65"/>
    </row>
    <row r="50" spans="1:2" ht="12.75">
      <c r="A50" s="66" t="s">
        <v>55</v>
      </c>
      <c r="B50" s="55"/>
    </row>
    <row r="51" spans="1:12" ht="15">
      <c r="A51" s="67" t="s">
        <v>56</v>
      </c>
      <c r="B51" s="60">
        <f>+B48+B46+B15</f>
        <v>31518848</v>
      </c>
      <c r="L51" s="178">
        <v>18</v>
      </c>
    </row>
    <row r="52" ht="12.75">
      <c r="B52" s="65"/>
    </row>
    <row r="53" ht="12.75">
      <c r="B53" s="65"/>
    </row>
    <row r="54" ht="12.75">
      <c r="B54" s="65"/>
    </row>
    <row r="55" ht="12.75">
      <c r="B55" s="65"/>
    </row>
    <row r="56" ht="12.75">
      <c r="B56" s="65"/>
    </row>
    <row r="57" ht="12.75">
      <c r="B57" s="65"/>
    </row>
    <row r="58" ht="12.75">
      <c r="B58" s="65"/>
    </row>
    <row r="59" ht="12.75">
      <c r="B59" s="65"/>
    </row>
    <row r="60" ht="12.75">
      <c r="B60" s="65"/>
    </row>
    <row r="61" ht="12.75">
      <c r="B61" s="65"/>
    </row>
    <row r="62" ht="12.75">
      <c r="B62" s="65"/>
    </row>
    <row r="63" ht="12.75">
      <c r="B63" s="65"/>
    </row>
    <row r="64" ht="12.75">
      <c r="B64" s="65"/>
    </row>
    <row r="65" ht="12.75">
      <c r="B65" s="65"/>
    </row>
    <row r="66" ht="12.75">
      <c r="B66" s="65"/>
    </row>
    <row r="67" ht="12.75">
      <c r="B67" s="65"/>
    </row>
    <row r="68" ht="12.75">
      <c r="B68" s="65"/>
    </row>
    <row r="69" ht="12.75">
      <c r="B69" s="65"/>
    </row>
    <row r="70" ht="12.75">
      <c r="B70" s="65"/>
    </row>
  </sheetData>
  <printOptions/>
  <pageMargins left="0.75" right="0.75" top="0.3" bottom="0.23" header="0.17" footer="0.18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"/>
    </sheetView>
  </sheetViews>
  <sheetFormatPr defaultColWidth="9.140625" defaultRowHeight="12.75"/>
  <cols>
    <col min="1" max="1" width="35.57421875" style="31" customWidth="1"/>
    <col min="2" max="2" width="9.140625" style="31" customWidth="1"/>
    <col min="3" max="3" width="12.00390625" style="31" customWidth="1"/>
    <col min="4" max="5" width="10.7109375" style="31" customWidth="1"/>
    <col min="6" max="6" width="10.57421875" style="31" customWidth="1"/>
    <col min="7" max="7" width="3.7109375" style="31" customWidth="1"/>
    <col min="8" max="12" width="9.140625" style="31" customWidth="1"/>
    <col min="13" max="13" width="9.8515625" style="31" customWidth="1"/>
    <col min="14" max="14" width="7.7109375" style="31" customWidth="1"/>
    <col min="15" max="15" width="19.140625" style="31" customWidth="1"/>
    <col min="16" max="16384" width="9.140625" style="31" customWidth="1"/>
  </cols>
  <sheetData>
    <row r="1" ht="15.75">
      <c r="A1" s="50" t="s">
        <v>175</v>
      </c>
    </row>
    <row r="2" ht="14.25">
      <c r="A2" s="68"/>
    </row>
    <row r="4" spans="2:7" ht="12.75">
      <c r="B4" s="52" t="s">
        <v>0</v>
      </c>
      <c r="C4" s="52" t="s">
        <v>159</v>
      </c>
      <c r="D4" s="52" t="s">
        <v>156</v>
      </c>
      <c r="E4" s="52" t="s">
        <v>2</v>
      </c>
      <c r="F4" s="69" t="s">
        <v>1</v>
      </c>
      <c r="G4" s="32" t="s">
        <v>57</v>
      </c>
    </row>
    <row r="5" spans="2:6" ht="12.75">
      <c r="B5" s="70">
        <v>2000</v>
      </c>
      <c r="C5" s="70" t="s">
        <v>221</v>
      </c>
      <c r="D5" s="70">
        <v>2002</v>
      </c>
      <c r="E5" s="70">
        <v>2002</v>
      </c>
      <c r="F5" s="70" t="s">
        <v>176</v>
      </c>
    </row>
    <row r="6" spans="1:6" ht="12.75">
      <c r="A6" s="66" t="s">
        <v>58</v>
      </c>
      <c r="B6" s="54"/>
      <c r="C6" s="54"/>
      <c r="D6" s="54"/>
      <c r="E6" s="54"/>
      <c r="F6" s="54"/>
    </row>
    <row r="7" spans="1:7" ht="12.75">
      <c r="A7" s="71" t="s">
        <v>59</v>
      </c>
      <c r="B7" s="72">
        <f>SUM(B8:B9)</f>
        <v>560</v>
      </c>
      <c r="C7" s="72">
        <f>SUM(C8:C9)</f>
        <v>548</v>
      </c>
      <c r="D7" s="72">
        <f>SUM(D8:D9)</f>
        <v>573</v>
      </c>
      <c r="E7" s="72">
        <f>SUM(E8:E9)</f>
        <v>514</v>
      </c>
      <c r="F7" s="72">
        <f>SUM(F8:F9)</f>
        <v>-34</v>
      </c>
      <c r="G7" s="31" t="s">
        <v>120</v>
      </c>
    </row>
    <row r="8" spans="1:7" ht="12.75">
      <c r="A8" s="73" t="s">
        <v>60</v>
      </c>
      <c r="B8" s="57">
        <v>373</v>
      </c>
      <c r="C8" s="57">
        <v>360</v>
      </c>
      <c r="D8" s="57">
        <f>573-188</f>
        <v>385</v>
      </c>
      <c r="E8" s="57">
        <v>328</v>
      </c>
      <c r="F8" s="57">
        <f>+E8-C8</f>
        <v>-32</v>
      </c>
      <c r="G8" s="31" t="s">
        <v>125</v>
      </c>
    </row>
    <row r="9" spans="1:7" ht="12.75">
      <c r="A9" s="73" t="s">
        <v>61</v>
      </c>
      <c r="B9" s="57">
        <f>560-373</f>
        <v>187</v>
      </c>
      <c r="C9" s="57">
        <f>548-360</f>
        <v>188</v>
      </c>
      <c r="D9" s="57">
        <f>+C9</f>
        <v>188</v>
      </c>
      <c r="E9" s="57">
        <v>186</v>
      </c>
      <c r="F9" s="57">
        <f>+E9-C9</f>
        <v>-2</v>
      </c>
      <c r="G9" s="31" t="s">
        <v>121</v>
      </c>
    </row>
    <row r="10" spans="1:7" ht="12.75">
      <c r="A10" s="74"/>
      <c r="B10" s="57"/>
      <c r="C10" s="57"/>
      <c r="D10" s="57"/>
      <c r="E10" s="57"/>
      <c r="F10" s="57"/>
      <c r="G10" s="31" t="s">
        <v>122</v>
      </c>
    </row>
    <row r="11" spans="1:7" ht="12.75">
      <c r="A11" s="74" t="s">
        <v>62</v>
      </c>
      <c r="B11" s="57"/>
      <c r="C11" s="57"/>
      <c r="D11" s="57"/>
      <c r="E11" s="57"/>
      <c r="F11" s="57"/>
      <c r="G11" s="31" t="s">
        <v>123</v>
      </c>
    </row>
    <row r="12" spans="1:7" ht="12.75">
      <c r="A12" s="71" t="s">
        <v>59</v>
      </c>
      <c r="B12" s="72">
        <f>902-560</f>
        <v>342</v>
      </c>
      <c r="C12" s="72">
        <v>362</v>
      </c>
      <c r="D12" s="72">
        <f>306+103</f>
        <v>409</v>
      </c>
      <c r="E12" s="72">
        <f>+C12+56</f>
        <v>418</v>
      </c>
      <c r="F12" s="72">
        <f>+E12-C12</f>
        <v>56</v>
      </c>
      <c r="G12" s="31" t="s">
        <v>130</v>
      </c>
    </row>
    <row r="13" spans="1:6" ht="12.75">
      <c r="A13" s="56"/>
      <c r="B13" s="57"/>
      <c r="C13" s="57"/>
      <c r="D13" s="57"/>
      <c r="E13" s="57"/>
      <c r="F13" s="57"/>
    </row>
    <row r="14" spans="1:6" ht="12.75">
      <c r="A14" s="74" t="s">
        <v>63</v>
      </c>
      <c r="B14" s="72"/>
      <c r="C14" s="72"/>
      <c r="D14" s="72"/>
      <c r="E14" s="72"/>
      <c r="F14" s="72"/>
    </row>
    <row r="15" spans="1:6" ht="12.75">
      <c r="A15" s="71" t="s">
        <v>59</v>
      </c>
      <c r="B15" s="72">
        <f>+B12+B7</f>
        <v>902</v>
      </c>
      <c r="C15" s="72">
        <f>+C12+C7</f>
        <v>910</v>
      </c>
      <c r="D15" s="72">
        <f>+D12+D7</f>
        <v>982</v>
      </c>
      <c r="E15" s="72">
        <f>+E12+E7</f>
        <v>932</v>
      </c>
      <c r="F15" s="72">
        <f>+E15-C15</f>
        <v>22</v>
      </c>
    </row>
    <row r="16" spans="1:7" ht="12.75">
      <c r="A16" s="56"/>
      <c r="B16" s="57"/>
      <c r="C16" s="57"/>
      <c r="D16" s="57"/>
      <c r="E16" s="57"/>
      <c r="F16" s="57"/>
      <c r="G16" s="65"/>
    </row>
    <row r="17" spans="1:8" ht="12.75">
      <c r="A17" s="71" t="s">
        <v>145</v>
      </c>
      <c r="B17" s="72">
        <f>6061+3035</f>
        <v>9096</v>
      </c>
      <c r="C17" s="72">
        <v>9200</v>
      </c>
      <c r="D17" s="72">
        <f>6107+3139+207</f>
        <v>9453</v>
      </c>
      <c r="E17" s="72">
        <f>6048+3081+207</f>
        <v>9336</v>
      </c>
      <c r="F17" s="72">
        <f>+E17-C17</f>
        <v>136</v>
      </c>
      <c r="H17" s="65"/>
    </row>
    <row r="18" spans="1:6" ht="12.75">
      <c r="A18" s="58"/>
      <c r="B18" s="59"/>
      <c r="C18" s="59"/>
      <c r="D18" s="59"/>
      <c r="E18" s="59"/>
      <c r="F18" s="59"/>
    </row>
    <row r="19" spans="1:6" ht="12.75">
      <c r="A19" s="74" t="s">
        <v>64</v>
      </c>
      <c r="B19" s="57"/>
      <c r="C19" s="57"/>
      <c r="D19" s="57"/>
      <c r="E19" s="57"/>
      <c r="F19" s="57"/>
    </row>
    <row r="20" spans="1:7" ht="12.75">
      <c r="A20" s="71" t="s">
        <v>65</v>
      </c>
      <c r="B20" s="72">
        <v>1846</v>
      </c>
      <c r="C20" s="72">
        <v>1859</v>
      </c>
      <c r="D20" s="72">
        <v>2012</v>
      </c>
      <c r="E20" s="72">
        <v>2000</v>
      </c>
      <c r="F20" s="72">
        <f>+E20-C20</f>
        <v>141</v>
      </c>
      <c r="G20" s="31" t="s">
        <v>228</v>
      </c>
    </row>
    <row r="21" spans="1:7" ht="12.75">
      <c r="A21" s="73" t="s">
        <v>66</v>
      </c>
      <c r="B21" s="57">
        <v>376935</v>
      </c>
      <c r="C21" s="57">
        <v>413694</v>
      </c>
      <c r="D21" s="57">
        <v>444646</v>
      </c>
      <c r="E21" s="57">
        <v>477500</v>
      </c>
      <c r="F21" s="57">
        <f>+E21-C21</f>
        <v>63806</v>
      </c>
      <c r="G21" s="31" t="s">
        <v>131</v>
      </c>
    </row>
    <row r="22" spans="1:7" ht="12.75">
      <c r="A22" s="56"/>
      <c r="B22" s="57"/>
      <c r="C22" s="57"/>
      <c r="D22" s="57"/>
      <c r="E22" s="57"/>
      <c r="F22" s="57"/>
      <c r="G22" s="31" t="s">
        <v>190</v>
      </c>
    </row>
    <row r="23" spans="1:6" ht="6.75" customHeight="1">
      <c r="A23" s="56"/>
      <c r="B23" s="57"/>
      <c r="C23" s="57"/>
      <c r="D23" s="57"/>
      <c r="E23" s="57"/>
      <c r="F23" s="57"/>
    </row>
    <row r="24" spans="1:7" ht="12.75">
      <c r="A24" s="71" t="s">
        <v>145</v>
      </c>
      <c r="B24" s="72">
        <v>5822</v>
      </c>
      <c r="C24" s="72">
        <v>6346</v>
      </c>
      <c r="D24" s="72">
        <f>6715+129+263</f>
        <v>7107</v>
      </c>
      <c r="E24" s="72">
        <f>6566+129+263</f>
        <v>6958</v>
      </c>
      <c r="F24" s="72">
        <f>+E24-C24</f>
        <v>612</v>
      </c>
      <c r="G24" s="31" t="s">
        <v>189</v>
      </c>
    </row>
    <row r="25" spans="1:7" ht="12.75">
      <c r="A25" s="58"/>
      <c r="B25" s="75"/>
      <c r="C25" s="75"/>
      <c r="D25" s="59"/>
      <c r="E25" s="59"/>
      <c r="F25" s="59"/>
      <c r="G25" s="65"/>
    </row>
    <row r="26" spans="1:7" ht="12.75">
      <c r="A26" s="74" t="s">
        <v>67</v>
      </c>
      <c r="B26" s="57"/>
      <c r="C26" s="57"/>
      <c r="D26" s="57"/>
      <c r="E26" s="57"/>
      <c r="F26" s="57"/>
      <c r="G26" s="31" t="s">
        <v>124</v>
      </c>
    </row>
    <row r="27" spans="1:7" ht="12.75">
      <c r="A27" s="71" t="s">
        <v>68</v>
      </c>
      <c r="B27" s="72">
        <v>202</v>
      </c>
      <c r="C27" s="72">
        <v>202</v>
      </c>
      <c r="D27" s="72">
        <v>208</v>
      </c>
      <c r="E27" s="72">
        <v>240</v>
      </c>
      <c r="F27" s="72">
        <f>+E27-C27</f>
        <v>38</v>
      </c>
      <c r="G27" s="31" t="s">
        <v>132</v>
      </c>
    </row>
    <row r="28" spans="1:7" ht="12.75">
      <c r="A28" s="74"/>
      <c r="B28" s="72"/>
      <c r="C28" s="72"/>
      <c r="D28" s="72"/>
      <c r="E28" s="72"/>
      <c r="F28" s="72"/>
      <c r="G28" s="31" t="s">
        <v>229</v>
      </c>
    </row>
    <row r="29" spans="1:7" ht="12.75">
      <c r="A29" s="71" t="s">
        <v>145</v>
      </c>
      <c r="B29" s="72">
        <f>1521+196</f>
        <v>1717</v>
      </c>
      <c r="C29" s="72">
        <v>1830</v>
      </c>
      <c r="D29" s="72">
        <f>1833+294</f>
        <v>2127</v>
      </c>
      <c r="E29" s="72">
        <f>1808+294</f>
        <v>2102</v>
      </c>
      <c r="F29" s="72">
        <f>+E29-C29</f>
        <v>272</v>
      </c>
      <c r="G29" s="31" t="s">
        <v>134</v>
      </c>
    </row>
    <row r="30" spans="1:6" ht="7.5" customHeight="1">
      <c r="A30" s="58"/>
      <c r="B30" s="59"/>
      <c r="C30" s="59"/>
      <c r="D30" s="59"/>
      <c r="E30" s="59"/>
      <c r="F30" s="59"/>
    </row>
    <row r="31" spans="1:6" ht="12.75">
      <c r="A31" s="74" t="s">
        <v>69</v>
      </c>
      <c r="B31" s="57"/>
      <c r="C31" s="57"/>
      <c r="D31" s="57"/>
      <c r="E31" s="57"/>
      <c r="F31" s="57"/>
    </row>
    <row r="32" spans="1:6" ht="12.75">
      <c r="A32" s="73" t="s">
        <v>70</v>
      </c>
      <c r="B32" s="57">
        <v>247</v>
      </c>
      <c r="C32" s="76">
        <v>240</v>
      </c>
      <c r="D32" s="76">
        <v>251</v>
      </c>
      <c r="E32" s="76">
        <v>300</v>
      </c>
      <c r="F32" s="57">
        <f>+E32-C32</f>
        <v>60</v>
      </c>
    </row>
    <row r="33" spans="1:6" ht="6" customHeight="1">
      <c r="A33" s="56"/>
      <c r="B33" s="57"/>
      <c r="C33" s="57"/>
      <c r="D33" s="57"/>
      <c r="E33" s="57"/>
      <c r="F33" s="57"/>
    </row>
    <row r="34" spans="1:6" ht="12.75">
      <c r="A34" s="71" t="s">
        <v>145</v>
      </c>
      <c r="B34" s="72">
        <v>141</v>
      </c>
      <c r="C34" s="72">
        <v>161</v>
      </c>
      <c r="D34" s="72">
        <v>155</v>
      </c>
      <c r="E34" s="72">
        <v>153</v>
      </c>
      <c r="F34" s="72">
        <f>+E34-C34</f>
        <v>-8</v>
      </c>
    </row>
    <row r="35" spans="1:6" ht="6" customHeight="1">
      <c r="A35" s="58"/>
      <c r="B35" s="59"/>
      <c r="C35" s="59"/>
      <c r="D35" s="59"/>
      <c r="E35" s="59"/>
      <c r="F35" s="59"/>
    </row>
    <row r="36" spans="1:6" ht="12.75">
      <c r="A36" s="74" t="s">
        <v>146</v>
      </c>
      <c r="B36" s="57"/>
      <c r="C36" s="57"/>
      <c r="D36" s="57"/>
      <c r="E36" s="57"/>
      <c r="F36" s="57"/>
    </row>
    <row r="37" spans="1:6" ht="12.75">
      <c r="A37" s="73" t="s">
        <v>16</v>
      </c>
      <c r="B37" s="57">
        <v>481</v>
      </c>
      <c r="C37" s="57">
        <v>523</v>
      </c>
      <c r="D37" s="57">
        <v>558</v>
      </c>
      <c r="E37" s="57">
        <v>539</v>
      </c>
      <c r="F37" s="57">
        <f aca="true" t="shared" si="0" ref="F37:F42">+E37-C37</f>
        <v>16</v>
      </c>
    </row>
    <row r="38" spans="1:6" ht="12.75">
      <c r="A38" s="73" t="s">
        <v>71</v>
      </c>
      <c r="B38" s="57">
        <v>212</v>
      </c>
      <c r="C38" s="57">
        <v>313</v>
      </c>
      <c r="D38" s="57">
        <v>222</v>
      </c>
      <c r="E38" s="57">
        <v>222</v>
      </c>
      <c r="F38" s="57">
        <f t="shared" si="0"/>
        <v>-91</v>
      </c>
    </row>
    <row r="39" spans="1:7" ht="12.75">
      <c r="A39" s="76" t="s">
        <v>19</v>
      </c>
      <c r="B39" s="57">
        <v>174</v>
      </c>
      <c r="C39" s="57">
        <v>175</v>
      </c>
      <c r="D39" s="57"/>
      <c r="E39" s="57"/>
      <c r="F39" s="57">
        <f t="shared" si="0"/>
        <v>-175</v>
      </c>
      <c r="G39" s="31" t="s">
        <v>220</v>
      </c>
    </row>
    <row r="40" spans="1:7" ht="12.75">
      <c r="A40" s="73" t="s">
        <v>72</v>
      </c>
      <c r="B40" s="57">
        <v>1338</v>
      </c>
      <c r="C40" s="57">
        <v>1348</v>
      </c>
      <c r="D40" s="57">
        <v>1746</v>
      </c>
      <c r="E40" s="57">
        <v>1729</v>
      </c>
      <c r="F40" s="57">
        <f t="shared" si="0"/>
        <v>381</v>
      </c>
      <c r="G40" s="65" t="s">
        <v>225</v>
      </c>
    </row>
    <row r="41" spans="1:7" ht="12.75">
      <c r="A41" s="73" t="s">
        <v>151</v>
      </c>
      <c r="B41" s="57"/>
      <c r="C41" s="57"/>
      <c r="D41" s="57">
        <v>116</v>
      </c>
      <c r="E41" s="57">
        <v>116</v>
      </c>
      <c r="F41" s="57">
        <f t="shared" si="0"/>
        <v>116</v>
      </c>
      <c r="G41" s="31" t="s">
        <v>187</v>
      </c>
    </row>
    <row r="42" spans="1:7" ht="12.75">
      <c r="A42" s="73" t="s">
        <v>141</v>
      </c>
      <c r="B42" s="57"/>
      <c r="C42" s="57"/>
      <c r="D42" s="31">
        <v>232</v>
      </c>
      <c r="E42" s="57">
        <v>232</v>
      </c>
      <c r="F42" s="57">
        <f t="shared" si="0"/>
        <v>232</v>
      </c>
      <c r="G42" s="31" t="s">
        <v>188</v>
      </c>
    </row>
    <row r="43" spans="1:6" ht="7.5" customHeight="1">
      <c r="A43" s="58"/>
      <c r="B43" s="59"/>
      <c r="C43" s="59"/>
      <c r="D43" s="59"/>
      <c r="E43" s="59"/>
      <c r="F43" s="59"/>
    </row>
    <row r="44" spans="1:6" ht="12.75">
      <c r="A44" s="67" t="s">
        <v>147</v>
      </c>
      <c r="B44" s="60">
        <f>B34+B29+B24+B17+B37+B38+B39+B40</f>
        <v>18981</v>
      </c>
      <c r="C44" s="60">
        <f>C34+C29+C24+C17+C37+C38+C39+C40</f>
        <v>19896</v>
      </c>
      <c r="D44" s="60">
        <f>D34+D29+D24+D17+D37+D38+D39+D40+D41+D42</f>
        <v>21716</v>
      </c>
      <c r="E44" s="60">
        <f>E34+E29+E24+E17+E37+E38+E39+E40+E41+E42</f>
        <v>21387</v>
      </c>
      <c r="F44" s="60">
        <f>F34+F29+F24+F17+F37+F38+F39+F40+F41+F42</f>
        <v>1491</v>
      </c>
    </row>
    <row r="45" spans="2:6" ht="6.75" customHeight="1">
      <c r="B45" s="65"/>
      <c r="C45" s="65"/>
      <c r="D45" s="65"/>
      <c r="E45" s="65"/>
      <c r="F45" s="65"/>
    </row>
    <row r="46" spans="1:6" ht="12.75">
      <c r="A46" s="31" t="s">
        <v>226</v>
      </c>
      <c r="B46" s="65"/>
      <c r="C46" s="65"/>
      <c r="D46" s="65"/>
      <c r="E46" s="65"/>
      <c r="F46" s="65"/>
    </row>
    <row r="47" spans="2:14" ht="15">
      <c r="B47" s="65"/>
      <c r="C47" s="65"/>
      <c r="D47" s="65"/>
      <c r="E47" s="65"/>
      <c r="F47" s="65"/>
      <c r="I47" s="51"/>
      <c r="N47" s="178">
        <v>19</v>
      </c>
    </row>
    <row r="48" spans="1:14" ht="12.75">
      <c r="A48"/>
      <c r="B48"/>
      <c r="C48"/>
      <c r="D48" s="65"/>
      <c r="E48"/>
      <c r="F48"/>
      <c r="N48" s="51"/>
    </row>
    <row r="49" spans="1:15" ht="12.75">
      <c r="A49"/>
      <c r="B49"/>
      <c r="C49"/>
      <c r="D49" s="65"/>
      <c r="E49"/>
      <c r="F49"/>
      <c r="O49" s="165"/>
    </row>
    <row r="50" spans="1:6" ht="12.75">
      <c r="A50"/>
      <c r="B50"/>
      <c r="C50"/>
      <c r="D50" s="65"/>
      <c r="E50"/>
      <c r="F50"/>
    </row>
    <row r="51" spans="1:6" ht="12.75">
      <c r="A51"/>
      <c r="B51"/>
      <c r="C51"/>
      <c r="D51" s="65"/>
      <c r="E51"/>
      <c r="F51"/>
    </row>
    <row r="52" spans="2:6" ht="12.75">
      <c r="B52" s="65"/>
      <c r="C52" s="65"/>
      <c r="D52" s="65"/>
      <c r="E52" s="65"/>
      <c r="F52" s="65"/>
    </row>
    <row r="53" spans="2:6" ht="12.75">
      <c r="B53" s="65"/>
      <c r="C53" s="65"/>
      <c r="D53" s="65"/>
      <c r="E53" s="65"/>
      <c r="F53" s="65"/>
    </row>
    <row r="54" spans="2:6" ht="12.75">
      <c r="B54" s="65"/>
      <c r="C54" s="65"/>
      <c r="D54" s="65"/>
      <c r="E54" s="65"/>
      <c r="F54" s="65"/>
    </row>
    <row r="55" spans="2:6" ht="12.75">
      <c r="B55" s="65"/>
      <c r="C55" s="65"/>
      <c r="D55" s="65"/>
      <c r="E55" s="65"/>
      <c r="F55" s="65"/>
    </row>
    <row r="56" spans="2:6" ht="12.75">
      <c r="B56" s="65"/>
      <c r="C56" s="65"/>
      <c r="D56" s="65"/>
      <c r="E56" s="65"/>
      <c r="F56" s="65"/>
    </row>
    <row r="57" spans="2:6" ht="12.75">
      <c r="B57" s="65"/>
      <c r="C57" s="65"/>
      <c r="D57" s="65"/>
      <c r="E57" s="65"/>
      <c r="F57" s="65"/>
    </row>
    <row r="58" spans="2:6" ht="12.75">
      <c r="B58" s="65"/>
      <c r="C58" s="65"/>
      <c r="D58" s="65"/>
      <c r="E58" s="65"/>
      <c r="F58" s="65"/>
    </row>
    <row r="59" spans="2:6" ht="12.75">
      <c r="B59" s="65"/>
      <c r="C59" s="65"/>
      <c r="D59" s="65"/>
      <c r="E59" s="65"/>
      <c r="F59" s="65"/>
    </row>
    <row r="60" spans="2:6" ht="12.75">
      <c r="B60" s="65"/>
      <c r="C60" s="65"/>
      <c r="D60" s="65"/>
      <c r="E60" s="65"/>
      <c r="F60" s="65"/>
    </row>
    <row r="61" spans="2:6" ht="12.75">
      <c r="B61" s="65"/>
      <c r="C61" s="65"/>
      <c r="D61" s="65"/>
      <c r="E61" s="65"/>
      <c r="F61" s="65"/>
    </row>
    <row r="62" spans="2:6" ht="12.75">
      <c r="B62" s="65"/>
      <c r="C62" s="65"/>
      <c r="E62" s="65"/>
      <c r="F62" s="65"/>
    </row>
    <row r="63" spans="2:6" ht="12.75">
      <c r="B63" s="65"/>
      <c r="C63" s="65"/>
      <c r="E63" s="65"/>
      <c r="F63" s="65"/>
    </row>
  </sheetData>
  <printOptions/>
  <pageMargins left="0.36" right="0.21" top="0.56" bottom="0.33" header="0.28" footer="0.1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eraggi</cp:lastModifiedBy>
  <cp:lastPrinted>2001-12-13T09:31:46Z</cp:lastPrinted>
  <dcterms:created xsi:type="dcterms:W3CDTF">2000-10-27T08:27:36Z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